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аташова\Учреждения отчёты, планы\"/>
    </mc:Choice>
  </mc:AlternateContent>
  <bookViews>
    <workbookView xWindow="0" yWindow="0" windowWidth="28800" windowHeight="12435" activeTab="5"/>
  </bookViews>
  <sheets>
    <sheet name="Форма 1" sheetId="1" r:id="rId1"/>
    <sheet name="Форма 2" sheetId="4" r:id="rId2"/>
    <sheet name="Форма 3" sheetId="5" r:id="rId3"/>
    <sheet name="Форма 4" sheetId="6" r:id="rId4"/>
    <sheet name="Форма 5" sheetId="7" r:id="rId5"/>
    <sheet name="Форма 6" sheetId="8" r:id="rId6"/>
  </sheets>
  <externalReferences>
    <externalReference r:id="rId7"/>
  </externalReferences>
  <definedNames>
    <definedName name="_xlnm._FilterDatabase" localSheetId="1" hidden="1">'Форма 2'!$A$4:$K$76</definedName>
    <definedName name="OLE_LINK1" localSheetId="0">'Форма 1'!#REF!</definedName>
    <definedName name="_xlnm.Print_Titles" localSheetId="0">'Форма 1'!$4:$7</definedName>
    <definedName name="_xlnm.Print_Titles" localSheetId="1">'Форма 2'!$3:$7</definedName>
    <definedName name="_xlnm.Print_Titles" localSheetId="2">'Форма 3'!$5:$6</definedName>
    <definedName name="_xlnm.Print_Titles" localSheetId="3">'Форма 4'!$5:$6</definedName>
    <definedName name="_xlnm.Print_Titles" localSheetId="4">'Форма 5'!$5:$6</definedName>
    <definedName name="_xlnm.Print_Titles" localSheetId="5">'Форма 6'!$5:$7</definedName>
    <definedName name="_xlnm.Print_Area" localSheetId="0">'Форма 1'!$A$1:$S$87</definedName>
    <definedName name="_xlnm.Print_Area" localSheetId="1">'Форма 2'!$A$1:$K$87</definedName>
    <definedName name="_xlnm.Print_Area" localSheetId="2">'Форма 3'!$A$1:$O$87</definedName>
    <definedName name="_xlnm.Print_Area" localSheetId="3">'Форма 4'!$A$1:$R$86</definedName>
    <definedName name="_xlnm.Print_Area" localSheetId="4">'Форма 5'!$A$1:$L$86</definedName>
    <definedName name="_xlnm.Print_Area" localSheetId="5">'Форма 6'!$A$1:$H$87</definedName>
  </definedNames>
  <calcPr calcId="152511"/>
</workbook>
</file>

<file path=xl/calcChain.xml><?xml version="1.0" encoding="utf-8"?>
<calcChain xmlns="http://schemas.openxmlformats.org/spreadsheetml/2006/main">
  <c r="E10" i="4" l="1"/>
  <c r="G87" i="4" l="1"/>
  <c r="F87" i="4"/>
  <c r="E86" i="4"/>
  <c r="E85" i="4"/>
  <c r="E84" i="4"/>
  <c r="E83" i="4"/>
  <c r="E82" i="4"/>
  <c r="E81" i="4"/>
  <c r="E80" i="4"/>
  <c r="E79" i="4"/>
  <c r="E77" i="4" l="1"/>
  <c r="E78" i="4"/>
  <c r="R84" i="1"/>
  <c r="R86" i="1" l="1"/>
  <c r="Q86" i="1"/>
  <c r="R85" i="1"/>
  <c r="Q83" i="1"/>
  <c r="R83" i="1"/>
  <c r="R82" i="1"/>
  <c r="Q82" i="1"/>
  <c r="Q78" i="1"/>
  <c r="Q85" i="1"/>
  <c r="S78" i="1" l="1"/>
  <c r="Q79" i="1"/>
  <c r="S79" i="1" s="1"/>
  <c r="F75" i="5" l="1"/>
  <c r="R78" i="1"/>
  <c r="F74" i="5"/>
  <c r="L75" i="7"/>
  <c r="F75" i="7"/>
  <c r="C75" i="7"/>
  <c r="L74" i="7"/>
  <c r="F74" i="7"/>
  <c r="C74" i="7"/>
  <c r="L73" i="7"/>
  <c r="F73" i="7"/>
  <c r="C73" i="7"/>
  <c r="L72" i="7"/>
  <c r="F72" i="7"/>
  <c r="C72" i="7"/>
  <c r="L71" i="7"/>
  <c r="F71" i="7"/>
  <c r="C71" i="7"/>
  <c r="L70" i="7"/>
  <c r="F70" i="7"/>
  <c r="C70" i="7"/>
  <c r="L69" i="7"/>
  <c r="F69" i="7"/>
  <c r="C69" i="7"/>
  <c r="L68" i="7"/>
  <c r="F68" i="7"/>
  <c r="C68" i="7"/>
  <c r="L67" i="7"/>
  <c r="F67" i="7"/>
  <c r="C67" i="7"/>
  <c r="L66" i="7"/>
  <c r="F66" i="7"/>
  <c r="C66" i="7"/>
  <c r="L65" i="7"/>
  <c r="F65" i="7"/>
  <c r="C65" i="7"/>
  <c r="L64" i="7"/>
  <c r="F64" i="7"/>
  <c r="C64" i="7"/>
  <c r="L63" i="7"/>
  <c r="F63" i="7"/>
  <c r="C63" i="7"/>
  <c r="L62" i="7"/>
  <c r="F62" i="7"/>
  <c r="C62" i="7"/>
  <c r="L61" i="7"/>
  <c r="F61" i="7"/>
  <c r="C61" i="7"/>
  <c r="L60" i="7"/>
  <c r="F60" i="7"/>
  <c r="C60" i="7"/>
  <c r="L59" i="7"/>
  <c r="F59" i="7"/>
  <c r="C59" i="7"/>
  <c r="L58" i="7"/>
  <c r="F58" i="7"/>
  <c r="C58" i="7"/>
  <c r="L57" i="7"/>
  <c r="F57" i="7"/>
  <c r="C57" i="7"/>
  <c r="L56" i="7"/>
  <c r="F56" i="7"/>
  <c r="C56" i="7"/>
  <c r="L55" i="7"/>
  <c r="F55" i="7"/>
  <c r="C55" i="7"/>
  <c r="L54" i="7"/>
  <c r="F54" i="7"/>
  <c r="C54" i="7"/>
  <c r="L53" i="7"/>
  <c r="F53" i="7"/>
  <c r="C53" i="7"/>
  <c r="L52" i="7"/>
  <c r="F52" i="7"/>
  <c r="C52" i="7"/>
  <c r="L51" i="7"/>
  <c r="F51" i="7"/>
  <c r="C51" i="7"/>
  <c r="L50" i="7"/>
  <c r="F50" i="7"/>
  <c r="C50" i="7"/>
  <c r="L49" i="7"/>
  <c r="F49" i="7"/>
  <c r="C49" i="7"/>
  <c r="L48" i="7"/>
  <c r="F48" i="7"/>
  <c r="C48" i="7"/>
  <c r="L47" i="7"/>
  <c r="F47" i="7"/>
  <c r="D47" i="7"/>
  <c r="C47" i="7" s="1"/>
  <c r="L46" i="7"/>
  <c r="F46" i="7"/>
  <c r="C46" i="7"/>
  <c r="L45" i="7"/>
  <c r="F45" i="7"/>
  <c r="C45" i="7"/>
  <c r="L44" i="7"/>
  <c r="F44" i="7"/>
  <c r="C44" i="7"/>
  <c r="L43" i="7"/>
  <c r="F43" i="7"/>
  <c r="C43" i="7"/>
  <c r="L42" i="7"/>
  <c r="F42" i="7"/>
  <c r="C42" i="7"/>
  <c r="L41" i="7"/>
  <c r="F41" i="7"/>
  <c r="C41" i="7"/>
  <c r="L40" i="7"/>
  <c r="F40" i="7"/>
  <c r="C40" i="7"/>
  <c r="L39" i="7"/>
  <c r="F39" i="7"/>
  <c r="C39" i="7"/>
  <c r="L38" i="7"/>
  <c r="F38" i="7"/>
  <c r="C38" i="7"/>
  <c r="L37" i="7"/>
  <c r="F37" i="7"/>
  <c r="C37" i="7"/>
  <c r="L36" i="7"/>
  <c r="F36" i="7"/>
  <c r="C36" i="7"/>
  <c r="L35" i="7"/>
  <c r="F35" i="7"/>
  <c r="C35" i="7"/>
  <c r="L34" i="7"/>
  <c r="F34" i="7"/>
  <c r="C34" i="7"/>
  <c r="L33" i="7"/>
  <c r="F33" i="7"/>
  <c r="C33" i="7"/>
  <c r="L32" i="7"/>
  <c r="F32" i="7"/>
  <c r="C32" i="7"/>
  <c r="L31" i="7"/>
  <c r="F31" i="7"/>
  <c r="C31" i="7"/>
  <c r="L30" i="7"/>
  <c r="F30" i="7"/>
  <c r="C30" i="7"/>
  <c r="L29" i="7"/>
  <c r="F29" i="7"/>
  <c r="C29" i="7"/>
  <c r="L28" i="7"/>
  <c r="F28" i="7"/>
  <c r="C28" i="7"/>
  <c r="L27" i="7"/>
  <c r="F27" i="7"/>
  <c r="C27" i="7"/>
  <c r="L26" i="7"/>
  <c r="F26" i="7"/>
  <c r="C26" i="7"/>
  <c r="L25" i="7"/>
  <c r="F25" i="7"/>
  <c r="D25" i="7"/>
  <c r="C25" i="7" s="1"/>
  <c r="L24" i="7"/>
  <c r="F24" i="7"/>
  <c r="C24" i="7"/>
  <c r="L23" i="7"/>
  <c r="F23" i="7"/>
  <c r="C23" i="7"/>
  <c r="L22" i="7"/>
  <c r="F22" i="7"/>
  <c r="C22" i="7"/>
  <c r="L21" i="7"/>
  <c r="F21" i="7"/>
  <c r="C21" i="7"/>
  <c r="L20" i="7"/>
  <c r="F20" i="7"/>
  <c r="D20" i="7"/>
  <c r="C20" i="7" s="1"/>
  <c r="J19" i="7"/>
  <c r="L19" i="7" s="1"/>
  <c r="F19" i="7"/>
  <c r="C19" i="7"/>
  <c r="L18" i="7"/>
  <c r="F18" i="7"/>
  <c r="C18" i="7"/>
  <c r="L17" i="7"/>
  <c r="F17" i="7"/>
  <c r="D17" i="7"/>
  <c r="C17" i="7"/>
  <c r="J16" i="7"/>
  <c r="L16" i="7" s="1"/>
  <c r="F16" i="7"/>
  <c r="C16" i="7"/>
  <c r="L15" i="7"/>
  <c r="F15" i="7"/>
  <c r="C15" i="7"/>
  <c r="L14" i="7"/>
  <c r="J14" i="7"/>
  <c r="F14" i="7"/>
  <c r="C14" i="7"/>
  <c r="L13" i="7"/>
  <c r="F13" i="7"/>
  <c r="D13" i="7"/>
  <c r="C13" i="7" s="1"/>
  <c r="L12" i="7"/>
  <c r="F12" i="7"/>
  <c r="D12" i="7"/>
  <c r="C12" i="7" s="1"/>
  <c r="L11" i="7"/>
  <c r="F11" i="7"/>
  <c r="C11" i="7"/>
  <c r="L10" i="7"/>
  <c r="F10" i="7"/>
  <c r="D10" i="7"/>
  <c r="C10" i="7" s="1"/>
  <c r="J9" i="7"/>
  <c r="L9" i="7" s="1"/>
  <c r="F9" i="7"/>
  <c r="C9" i="7"/>
  <c r="J8" i="7"/>
  <c r="L8" i="7" s="1"/>
  <c r="F8" i="7"/>
  <c r="C8" i="7"/>
  <c r="J7" i="7"/>
  <c r="L7" i="7" s="1"/>
  <c r="F7" i="7"/>
  <c r="C7" i="7"/>
  <c r="H75" i="6"/>
  <c r="H74" i="6"/>
  <c r="H73" i="6"/>
  <c r="E73" i="6"/>
  <c r="H71" i="6"/>
  <c r="H70" i="6"/>
  <c r="K69" i="6"/>
  <c r="H69" i="6"/>
  <c r="H68" i="6"/>
  <c r="H67" i="6"/>
  <c r="H66" i="6"/>
  <c r="E66" i="6"/>
  <c r="K65" i="6"/>
  <c r="H65" i="6"/>
  <c r="E65" i="6"/>
  <c r="H64" i="6"/>
  <c r="E64" i="6"/>
  <c r="K63" i="6"/>
  <c r="H63" i="6"/>
  <c r="E63" i="6"/>
  <c r="K62" i="6"/>
  <c r="H62" i="6"/>
  <c r="E62" i="6"/>
  <c r="H61" i="6"/>
  <c r="E61" i="6"/>
  <c r="H60" i="6"/>
  <c r="E60" i="6"/>
  <c r="K59" i="6"/>
  <c r="H59" i="6"/>
  <c r="E59" i="6"/>
  <c r="K58" i="6"/>
  <c r="H58" i="6"/>
  <c r="E58" i="6"/>
  <c r="H57" i="6"/>
  <c r="E57" i="6"/>
  <c r="H56" i="6"/>
  <c r="E56" i="6"/>
  <c r="K55" i="6"/>
  <c r="H55" i="6"/>
  <c r="E55" i="6"/>
  <c r="H54" i="6"/>
  <c r="E54" i="6"/>
  <c r="H53" i="6"/>
  <c r="E53" i="6"/>
  <c r="K52" i="6"/>
  <c r="H52" i="6"/>
  <c r="E52" i="6"/>
  <c r="K51" i="6"/>
  <c r="H51" i="6"/>
  <c r="E51" i="6"/>
  <c r="K50" i="6"/>
  <c r="H50" i="6"/>
  <c r="E50" i="6"/>
  <c r="H49" i="6"/>
  <c r="E49" i="6"/>
  <c r="K48" i="6"/>
  <c r="H48" i="6"/>
  <c r="E48" i="6"/>
  <c r="H47" i="6"/>
  <c r="E47" i="6"/>
  <c r="K46" i="6"/>
  <c r="H46" i="6"/>
  <c r="E46" i="6"/>
  <c r="K45" i="6"/>
  <c r="H45" i="6"/>
  <c r="E45" i="6"/>
  <c r="K44" i="6"/>
  <c r="H44" i="6"/>
  <c r="E44" i="6"/>
  <c r="H43" i="6"/>
  <c r="K42" i="6"/>
  <c r="H42" i="6"/>
  <c r="E42" i="6"/>
  <c r="K41" i="6"/>
  <c r="H41" i="6"/>
  <c r="E41" i="6"/>
  <c r="K40" i="6"/>
  <c r="H40" i="6"/>
  <c r="E40" i="6"/>
  <c r="K39" i="6"/>
  <c r="H39" i="6"/>
  <c r="E39" i="6"/>
  <c r="K38" i="6"/>
  <c r="H38" i="6"/>
  <c r="E38" i="6"/>
  <c r="K37" i="6"/>
  <c r="H37" i="6"/>
  <c r="E37" i="6"/>
  <c r="K36" i="6"/>
  <c r="H36" i="6"/>
  <c r="E36" i="6"/>
  <c r="K35" i="6"/>
  <c r="H35" i="6"/>
  <c r="E35" i="6"/>
  <c r="K34" i="6"/>
  <c r="H34" i="6"/>
  <c r="E34" i="6"/>
  <c r="K33" i="6"/>
  <c r="H33" i="6"/>
  <c r="E33" i="6"/>
  <c r="K32" i="6"/>
  <c r="H32" i="6"/>
  <c r="E32" i="6"/>
  <c r="K31" i="6"/>
  <c r="H31" i="6"/>
  <c r="E31" i="6"/>
  <c r="K30" i="6"/>
  <c r="H30" i="6"/>
  <c r="E30" i="6"/>
  <c r="H29" i="6"/>
  <c r="K28" i="6"/>
  <c r="H28" i="6"/>
  <c r="E28" i="6"/>
  <c r="H27" i="6"/>
  <c r="E27" i="6"/>
  <c r="K26" i="6"/>
  <c r="H26" i="6"/>
  <c r="E26" i="6"/>
  <c r="K25" i="6"/>
  <c r="H25" i="6"/>
  <c r="E25" i="6"/>
  <c r="K24" i="6"/>
  <c r="H24" i="6"/>
  <c r="E24" i="6"/>
  <c r="K23" i="6"/>
  <c r="H23" i="6"/>
  <c r="E23" i="6"/>
  <c r="K22" i="6"/>
  <c r="H22" i="6"/>
  <c r="E22" i="6"/>
  <c r="K21" i="6"/>
  <c r="H21" i="6"/>
  <c r="E21" i="6"/>
  <c r="K20" i="6"/>
  <c r="H20" i="6"/>
  <c r="E20" i="6"/>
  <c r="K19" i="6"/>
  <c r="H19" i="6"/>
  <c r="E19" i="6"/>
  <c r="K18" i="6"/>
  <c r="H18" i="6"/>
  <c r="E18" i="6"/>
  <c r="K17" i="6"/>
  <c r="H17" i="6"/>
  <c r="E17" i="6"/>
  <c r="H16" i="6"/>
  <c r="E16" i="6"/>
  <c r="K15" i="6"/>
  <c r="H15" i="6"/>
  <c r="E15" i="6"/>
  <c r="K14" i="6"/>
  <c r="H14" i="6"/>
  <c r="E14" i="6"/>
  <c r="K13" i="6"/>
  <c r="H13" i="6"/>
  <c r="E13" i="6"/>
  <c r="K12" i="6"/>
  <c r="H12" i="6"/>
  <c r="E12" i="6"/>
  <c r="K11" i="6"/>
  <c r="H11" i="6"/>
  <c r="E11" i="6"/>
  <c r="K10" i="6"/>
  <c r="H10" i="6"/>
  <c r="E10" i="6"/>
  <c r="H9" i="6"/>
  <c r="E9" i="6"/>
  <c r="K8" i="6"/>
  <c r="H8" i="6"/>
  <c r="E8" i="6"/>
  <c r="K7" i="6"/>
  <c r="H7" i="6"/>
  <c r="E7" i="6"/>
  <c r="F87" i="5" l="1"/>
  <c r="C87" i="5"/>
  <c r="I76" i="4"/>
  <c r="E76" i="4" s="1"/>
  <c r="I75" i="4"/>
  <c r="E75" i="4" s="1"/>
  <c r="I74" i="4"/>
  <c r="E74" i="4" s="1"/>
  <c r="J73" i="4"/>
  <c r="I73" i="4"/>
  <c r="E73" i="4" s="1"/>
  <c r="J72" i="4"/>
  <c r="I72" i="4"/>
  <c r="I71" i="4"/>
  <c r="E71" i="4" s="1"/>
  <c r="J70" i="4"/>
  <c r="I70" i="4"/>
  <c r="I69" i="4"/>
  <c r="E69" i="4" s="1"/>
  <c r="I68" i="4"/>
  <c r="E68" i="4" s="1"/>
  <c r="I67" i="4"/>
  <c r="E67" i="4" s="1"/>
  <c r="D67" i="4"/>
  <c r="C67" i="4"/>
  <c r="I66" i="4"/>
  <c r="E66" i="4" s="1"/>
  <c r="D66" i="4"/>
  <c r="C66" i="4"/>
  <c r="J65" i="4"/>
  <c r="I65" i="4"/>
  <c r="D65" i="4"/>
  <c r="C65" i="4"/>
  <c r="I64" i="4"/>
  <c r="D64" i="4"/>
  <c r="C64" i="4"/>
  <c r="I63" i="4"/>
  <c r="D63" i="4"/>
  <c r="C63" i="4"/>
  <c r="J62" i="4"/>
  <c r="I62" i="4"/>
  <c r="D62" i="4"/>
  <c r="C62" i="4"/>
  <c r="I61" i="4"/>
  <c r="E61" i="4" s="1"/>
  <c r="D61" i="4"/>
  <c r="C61" i="4"/>
  <c r="I60" i="4"/>
  <c r="E60" i="4" s="1"/>
  <c r="D60" i="4"/>
  <c r="C60" i="4"/>
  <c r="I59" i="4"/>
  <c r="E59" i="4" s="1"/>
  <c r="D59" i="4"/>
  <c r="C59" i="4"/>
  <c r="J58" i="4"/>
  <c r="I58" i="4"/>
  <c r="E58" i="4" s="1"/>
  <c r="D58" i="4"/>
  <c r="C58" i="4"/>
  <c r="I57" i="4"/>
  <c r="E57" i="4" s="1"/>
  <c r="D57" i="4"/>
  <c r="C57" i="4"/>
  <c r="I56" i="4"/>
  <c r="E56" i="4" s="1"/>
  <c r="D56" i="4"/>
  <c r="C56" i="4"/>
  <c r="I55" i="4"/>
  <c r="D55" i="4"/>
  <c r="C55" i="4"/>
  <c r="J54" i="4"/>
  <c r="I54" i="4"/>
  <c r="D54" i="4"/>
  <c r="C54" i="4"/>
  <c r="I53" i="4"/>
  <c r="E53" i="4" s="1"/>
  <c r="D53" i="4"/>
  <c r="C53" i="4"/>
  <c r="I52" i="4"/>
  <c r="D52" i="4"/>
  <c r="C52" i="4"/>
  <c r="I51" i="4"/>
  <c r="E51" i="4" s="1"/>
  <c r="D51" i="4"/>
  <c r="C51" i="4"/>
  <c r="I50" i="4"/>
  <c r="E50" i="4" s="1"/>
  <c r="D50" i="4"/>
  <c r="C50" i="4"/>
  <c r="I49" i="4"/>
  <c r="E49" i="4" s="1"/>
  <c r="D49" i="4"/>
  <c r="C49" i="4"/>
  <c r="I48" i="4"/>
  <c r="E48" i="4" s="1"/>
  <c r="D48" i="4"/>
  <c r="C48" i="4"/>
  <c r="I47" i="4"/>
  <c r="D47" i="4"/>
  <c r="C47" i="4"/>
  <c r="J46" i="4"/>
  <c r="I46" i="4"/>
  <c r="E46" i="4" s="1"/>
  <c r="D46" i="4"/>
  <c r="C46" i="4"/>
  <c r="I45" i="4"/>
  <c r="D45" i="4"/>
  <c r="C45" i="4"/>
  <c r="J44" i="4"/>
  <c r="I44" i="4"/>
  <c r="I43" i="4"/>
  <c r="E43" i="4" s="1"/>
  <c r="D43" i="4"/>
  <c r="C43" i="4"/>
  <c r="I42" i="4"/>
  <c r="E42" i="4" s="1"/>
  <c r="D42" i="4"/>
  <c r="C42" i="4"/>
  <c r="I41" i="4"/>
  <c r="D41" i="4"/>
  <c r="C41" i="4"/>
  <c r="I40" i="4"/>
  <c r="E40" i="4" s="1"/>
  <c r="D40" i="4"/>
  <c r="C40" i="4"/>
  <c r="I39" i="4"/>
  <c r="I38" i="4"/>
  <c r="E38" i="4" s="1"/>
  <c r="I37" i="4"/>
  <c r="E37" i="4" s="1"/>
  <c r="I36" i="4"/>
  <c r="E36" i="4" s="1"/>
  <c r="I35" i="4"/>
  <c r="E35" i="4" s="1"/>
  <c r="I34" i="4"/>
  <c r="E34" i="4" s="1"/>
  <c r="I33" i="4"/>
  <c r="E33" i="4" s="1"/>
  <c r="I32" i="4"/>
  <c r="I31" i="4"/>
  <c r="I30" i="4"/>
  <c r="E30" i="4" s="1"/>
  <c r="I29" i="4"/>
  <c r="E29" i="4" s="1"/>
  <c r="I28" i="4"/>
  <c r="E28" i="4" s="1"/>
  <c r="I27" i="4"/>
  <c r="E27" i="4" s="1"/>
  <c r="I26" i="4"/>
  <c r="I25" i="4"/>
  <c r="I24" i="4"/>
  <c r="E24" i="4" s="1"/>
  <c r="I23" i="4"/>
  <c r="E23" i="4" s="1"/>
  <c r="I22" i="4"/>
  <c r="E22" i="4" s="1"/>
  <c r="I21" i="4"/>
  <c r="I20" i="4"/>
  <c r="D20" i="4"/>
  <c r="C20" i="4"/>
  <c r="I19" i="4"/>
  <c r="E19" i="4" s="1"/>
  <c r="D19" i="4"/>
  <c r="C19" i="4"/>
  <c r="I18" i="4"/>
  <c r="E18" i="4" s="1"/>
  <c r="D18" i="4"/>
  <c r="C18" i="4"/>
  <c r="I17" i="4"/>
  <c r="E17" i="4" s="1"/>
  <c r="D17" i="4"/>
  <c r="C17" i="4"/>
  <c r="I16" i="4"/>
  <c r="E16" i="4" s="1"/>
  <c r="D16" i="4"/>
  <c r="C16" i="4"/>
  <c r="I15" i="4"/>
  <c r="E15" i="4" s="1"/>
  <c r="D15" i="4"/>
  <c r="C15" i="4"/>
  <c r="I14" i="4"/>
  <c r="D14" i="4"/>
  <c r="C14" i="4"/>
  <c r="I13" i="4"/>
  <c r="I12" i="4"/>
  <c r="E12" i="4" s="1"/>
  <c r="I11" i="4"/>
  <c r="I10" i="4"/>
  <c r="I9" i="4"/>
  <c r="E9" i="4" s="1"/>
  <c r="I8" i="4"/>
  <c r="E8" i="4" s="1"/>
  <c r="P76" i="1"/>
  <c r="P75" i="1"/>
  <c r="P74" i="1"/>
  <c r="P71" i="1"/>
  <c r="P70" i="1"/>
  <c r="P69" i="1"/>
  <c r="P65" i="1"/>
  <c r="P61" i="1"/>
  <c r="P60" i="1"/>
  <c r="P57" i="1"/>
  <c r="E44" i="4" l="1"/>
  <c r="J20" i="4"/>
  <c r="E20" i="4" s="1"/>
  <c r="E45" i="4"/>
  <c r="E54" i="4"/>
  <c r="J55" i="4"/>
  <c r="E55" i="4" s="1"/>
  <c r="E65" i="4"/>
  <c r="J47" i="4"/>
  <c r="E47" i="4" s="1"/>
  <c r="J21" i="4"/>
  <c r="E21" i="4" s="1"/>
  <c r="J25" i="4"/>
  <c r="E25" i="4" s="1"/>
  <c r="E72" i="4"/>
  <c r="J13" i="4"/>
  <c r="E13" i="4" s="1"/>
  <c r="J31" i="4"/>
  <c r="E31" i="4" s="1"/>
  <c r="J39" i="4"/>
  <c r="E39" i="4" s="1"/>
  <c r="J14" i="4"/>
  <c r="E14" i="4" s="1"/>
  <c r="J26" i="4"/>
  <c r="E26" i="4" s="1"/>
  <c r="J52" i="4"/>
  <c r="E52" i="4" s="1"/>
  <c r="E62" i="4"/>
  <c r="E70" i="4"/>
  <c r="J64" i="4"/>
  <c r="E64" i="4" s="1"/>
  <c r="J11" i="4"/>
  <c r="E11" i="4" s="1"/>
  <c r="J32" i="4"/>
  <c r="E32" i="4" s="1"/>
  <c r="J41" i="4"/>
  <c r="E41" i="4" s="1"/>
  <c r="J45" i="4"/>
  <c r="J63" i="4"/>
  <c r="E63" i="4" s="1"/>
  <c r="Q76" i="1"/>
  <c r="S76" i="1" s="1"/>
  <c r="N76" i="1"/>
  <c r="K76" i="1"/>
  <c r="I76" i="1"/>
  <c r="E76" i="1"/>
  <c r="Q75" i="1"/>
  <c r="S75" i="1" s="1"/>
  <c r="N75" i="1"/>
  <c r="K75" i="1"/>
  <c r="I75" i="1"/>
  <c r="E75" i="1"/>
  <c r="C75" i="1" s="1"/>
  <c r="Q74" i="1"/>
  <c r="S74" i="1" s="1"/>
  <c r="K74" i="1"/>
  <c r="I74" i="1"/>
  <c r="E74" i="1"/>
  <c r="C74" i="1" s="1"/>
  <c r="Q73" i="1"/>
  <c r="S73" i="1" s="1"/>
  <c r="P73" i="1"/>
  <c r="N73" i="1"/>
  <c r="K73" i="1"/>
  <c r="I73" i="1"/>
  <c r="E73" i="1"/>
  <c r="C73" i="1" s="1"/>
  <c r="Q72" i="1"/>
  <c r="S72" i="1" s="1"/>
  <c r="P72" i="1"/>
  <c r="N72" i="1"/>
  <c r="K72" i="1"/>
  <c r="I72" i="1"/>
  <c r="E72" i="1"/>
  <c r="Q71" i="1"/>
  <c r="S71" i="1" s="1"/>
  <c r="N71" i="1"/>
  <c r="K71" i="1"/>
  <c r="I71" i="1"/>
  <c r="E71" i="1"/>
  <c r="Q70" i="1"/>
  <c r="S70" i="1" s="1"/>
  <c r="N70" i="1"/>
  <c r="K70" i="1"/>
  <c r="I70" i="1"/>
  <c r="E70" i="1"/>
  <c r="Q69" i="1"/>
  <c r="S69" i="1" s="1"/>
  <c r="N69" i="1"/>
  <c r="K69" i="1"/>
  <c r="I69" i="1"/>
  <c r="E69" i="1"/>
  <c r="Q68" i="1"/>
  <c r="S68" i="1" s="1"/>
  <c r="P68" i="1"/>
  <c r="N68" i="1"/>
  <c r="K68" i="1"/>
  <c r="I68" i="1"/>
  <c r="E68" i="1"/>
  <c r="C68" i="1" s="1"/>
  <c r="P67" i="1"/>
  <c r="M67" i="1"/>
  <c r="N67" i="1" s="1"/>
  <c r="J67" i="1"/>
  <c r="Q67" i="1" s="1"/>
  <c r="S67" i="1" s="1"/>
  <c r="I67" i="1"/>
  <c r="E67" i="1"/>
  <c r="C67" i="1" s="1"/>
  <c r="Q66" i="1"/>
  <c r="S66" i="1" s="1"/>
  <c r="P66" i="1"/>
  <c r="N66" i="1"/>
  <c r="K66" i="1"/>
  <c r="I66" i="1"/>
  <c r="E66" i="1"/>
  <c r="C66" i="1" s="1"/>
  <c r="Q65" i="1"/>
  <c r="S65" i="1" s="1"/>
  <c r="N65" i="1"/>
  <c r="K65" i="1"/>
  <c r="I65" i="1"/>
  <c r="E65" i="1"/>
  <c r="C65" i="1" s="1"/>
  <c r="P64" i="1"/>
  <c r="N64" i="1"/>
  <c r="J64" i="1"/>
  <c r="Q64" i="1" s="1"/>
  <c r="S64" i="1" s="1"/>
  <c r="I64" i="1"/>
  <c r="E64" i="1"/>
  <c r="C64" i="1" s="1"/>
  <c r="P63" i="1"/>
  <c r="N63" i="1"/>
  <c r="J63" i="1"/>
  <c r="I63" i="1"/>
  <c r="E63" i="1"/>
  <c r="C63" i="1" s="1"/>
  <c r="Q62" i="1"/>
  <c r="S62" i="1" s="1"/>
  <c r="P62" i="1"/>
  <c r="N62" i="1"/>
  <c r="K62" i="1"/>
  <c r="I62" i="1"/>
  <c r="E62" i="1"/>
  <c r="C62" i="1" s="1"/>
  <c r="Q61" i="1"/>
  <c r="S61" i="1" s="1"/>
  <c r="N61" i="1"/>
  <c r="K61" i="1"/>
  <c r="I61" i="1"/>
  <c r="E61" i="1"/>
  <c r="C61" i="1" s="1"/>
  <c r="Q60" i="1"/>
  <c r="S60" i="1" s="1"/>
  <c r="N60" i="1"/>
  <c r="K60" i="1"/>
  <c r="I60" i="1"/>
  <c r="E60" i="1"/>
  <c r="C60" i="1" s="1"/>
  <c r="Q59" i="1"/>
  <c r="S59" i="1" s="1"/>
  <c r="P59" i="1"/>
  <c r="N59" i="1"/>
  <c r="K59" i="1"/>
  <c r="I59" i="1"/>
  <c r="E59" i="1"/>
  <c r="Q58" i="1"/>
  <c r="S58" i="1" s="1"/>
  <c r="P58" i="1"/>
  <c r="N58" i="1"/>
  <c r="K58" i="1"/>
  <c r="I58" i="1"/>
  <c r="E58" i="1"/>
  <c r="Q57" i="1"/>
  <c r="S57" i="1" s="1"/>
  <c r="N57" i="1"/>
  <c r="K57" i="1"/>
  <c r="I57" i="1"/>
  <c r="E57" i="1"/>
  <c r="Q56" i="1"/>
  <c r="S56" i="1" s="1"/>
  <c r="P56" i="1"/>
  <c r="N56" i="1"/>
  <c r="K56" i="1"/>
  <c r="I56" i="1"/>
  <c r="E56" i="1"/>
  <c r="C56" i="1" s="1"/>
  <c r="P55" i="1"/>
  <c r="N55" i="1"/>
  <c r="J55" i="1"/>
  <c r="Q55" i="1" s="1"/>
  <c r="I55" i="1"/>
  <c r="E55" i="1"/>
  <c r="C55" i="1" s="1"/>
  <c r="Q54" i="1"/>
  <c r="S54" i="1" s="1"/>
  <c r="P54" i="1"/>
  <c r="N54" i="1"/>
  <c r="K54" i="1"/>
  <c r="I54" i="1"/>
  <c r="E54" i="1"/>
  <c r="Q53" i="1"/>
  <c r="S53" i="1" s="1"/>
  <c r="P53" i="1"/>
  <c r="N53" i="1"/>
  <c r="K53" i="1"/>
  <c r="I53" i="1"/>
  <c r="E53" i="1"/>
  <c r="C53" i="1" s="1"/>
  <c r="P52" i="1"/>
  <c r="N52" i="1"/>
  <c r="J52" i="1"/>
  <c r="Q52" i="1" s="1"/>
  <c r="S52" i="1" s="1"/>
  <c r="I52" i="1"/>
  <c r="E52" i="1"/>
  <c r="C52" i="1" s="1"/>
  <c r="Q51" i="1"/>
  <c r="S51" i="1" s="1"/>
  <c r="P51" i="1"/>
  <c r="N51" i="1"/>
  <c r="K51" i="1"/>
  <c r="I51" i="1"/>
  <c r="E51" i="1"/>
  <c r="Q50" i="1"/>
  <c r="S50" i="1" s="1"/>
  <c r="N50" i="1"/>
  <c r="K50" i="1"/>
  <c r="I50" i="1"/>
  <c r="E50" i="1"/>
  <c r="Q49" i="1"/>
  <c r="S49" i="1" s="1"/>
  <c r="P49" i="1"/>
  <c r="N49" i="1"/>
  <c r="K49" i="1"/>
  <c r="I49" i="1"/>
  <c r="E49" i="1"/>
  <c r="C49" i="1" s="1"/>
  <c r="Q48" i="1"/>
  <c r="S48" i="1" s="1"/>
  <c r="P48" i="1"/>
  <c r="K48" i="1"/>
  <c r="I48" i="1"/>
  <c r="E48" i="1"/>
  <c r="C48" i="1" s="1"/>
  <c r="P47" i="1"/>
  <c r="N47" i="1"/>
  <c r="J47" i="1"/>
  <c r="Q47" i="1" s="1"/>
  <c r="S47" i="1" s="1"/>
  <c r="I47" i="1"/>
  <c r="E47" i="1"/>
  <c r="C47" i="1" s="1"/>
  <c r="Q46" i="1"/>
  <c r="S46" i="1" s="1"/>
  <c r="P46" i="1"/>
  <c r="N46" i="1"/>
  <c r="K46" i="1"/>
  <c r="I46" i="1"/>
  <c r="E46" i="1"/>
  <c r="P45" i="1"/>
  <c r="M45" i="1"/>
  <c r="N45" i="1" s="1"/>
  <c r="J45" i="1"/>
  <c r="K45" i="1" s="1"/>
  <c r="I45" i="1"/>
  <c r="E45" i="1"/>
  <c r="Q44" i="1"/>
  <c r="S44" i="1" s="1"/>
  <c r="P44" i="1"/>
  <c r="N44" i="1"/>
  <c r="K44" i="1"/>
  <c r="I44" i="1"/>
  <c r="E44" i="1"/>
  <c r="Q43" i="1"/>
  <c r="S43" i="1" s="1"/>
  <c r="P43" i="1"/>
  <c r="N43" i="1"/>
  <c r="K43" i="1"/>
  <c r="I43" i="1"/>
  <c r="E43" i="1"/>
  <c r="C43" i="1" s="1"/>
  <c r="Q42" i="1"/>
  <c r="S42" i="1" s="1"/>
  <c r="N42" i="1"/>
  <c r="K42" i="1"/>
  <c r="I42" i="1"/>
  <c r="E42" i="1"/>
  <c r="C42" i="1" s="1"/>
  <c r="P41" i="1"/>
  <c r="N41" i="1"/>
  <c r="J41" i="1"/>
  <c r="Q41" i="1" s="1"/>
  <c r="S41" i="1" s="1"/>
  <c r="I41" i="1"/>
  <c r="E41" i="1"/>
  <c r="C41" i="1" s="1"/>
  <c r="Q40" i="1"/>
  <c r="S40" i="1" s="1"/>
  <c r="P40" i="1"/>
  <c r="N40" i="1"/>
  <c r="K40" i="1"/>
  <c r="I40" i="1"/>
  <c r="E40" i="1"/>
  <c r="P39" i="1"/>
  <c r="N39" i="1"/>
  <c r="J39" i="1"/>
  <c r="Q39" i="1" s="1"/>
  <c r="I39" i="1"/>
  <c r="E39" i="1"/>
  <c r="C39" i="1" s="1"/>
  <c r="Q38" i="1"/>
  <c r="S38" i="1" s="1"/>
  <c r="P38" i="1"/>
  <c r="N38" i="1"/>
  <c r="K38" i="1"/>
  <c r="I38" i="1"/>
  <c r="E38" i="1"/>
  <c r="C38" i="1" s="1"/>
  <c r="Q37" i="1"/>
  <c r="S37" i="1" s="1"/>
  <c r="P37" i="1"/>
  <c r="N37" i="1"/>
  <c r="K37" i="1"/>
  <c r="I37" i="1"/>
  <c r="E37" i="1"/>
  <c r="Q36" i="1"/>
  <c r="S36" i="1" s="1"/>
  <c r="P36" i="1"/>
  <c r="N36" i="1"/>
  <c r="K36" i="1"/>
  <c r="I36" i="1"/>
  <c r="E36" i="1"/>
  <c r="C36" i="1" s="1"/>
  <c r="Q35" i="1"/>
  <c r="S35" i="1" s="1"/>
  <c r="P35" i="1"/>
  <c r="N35" i="1"/>
  <c r="K35" i="1"/>
  <c r="I35" i="1"/>
  <c r="E35" i="1"/>
  <c r="C35" i="1" s="1"/>
  <c r="Q34" i="1"/>
  <c r="S34" i="1" s="1"/>
  <c r="P34" i="1"/>
  <c r="N34" i="1"/>
  <c r="K34" i="1"/>
  <c r="I34" i="1"/>
  <c r="E34" i="1"/>
  <c r="C34" i="1" s="1"/>
  <c r="P33" i="1"/>
  <c r="M33" i="1"/>
  <c r="N33" i="1" s="1"/>
  <c r="J33" i="1"/>
  <c r="I33" i="1"/>
  <c r="E33" i="1"/>
  <c r="C33" i="1" s="1"/>
  <c r="P32" i="1"/>
  <c r="N32" i="1"/>
  <c r="J32" i="1"/>
  <c r="K32" i="1" s="1"/>
  <c r="I32" i="1"/>
  <c r="E32" i="1"/>
  <c r="P31" i="1"/>
  <c r="N31" i="1"/>
  <c r="J31" i="1"/>
  <c r="Q31" i="1" s="1"/>
  <c r="I31" i="1"/>
  <c r="E31" i="1"/>
  <c r="C31" i="1" s="1"/>
  <c r="Q30" i="1"/>
  <c r="S30" i="1" s="1"/>
  <c r="P30" i="1"/>
  <c r="N30" i="1"/>
  <c r="K30" i="1"/>
  <c r="I30" i="1"/>
  <c r="E30" i="1"/>
  <c r="C30" i="1" s="1"/>
  <c r="Q29" i="1"/>
  <c r="S29" i="1" s="1"/>
  <c r="P29" i="1"/>
  <c r="N29" i="1"/>
  <c r="K29" i="1"/>
  <c r="I29" i="1"/>
  <c r="E29" i="1"/>
  <c r="Q28" i="1"/>
  <c r="S28" i="1" s="1"/>
  <c r="P28" i="1"/>
  <c r="N28" i="1"/>
  <c r="K28" i="1"/>
  <c r="I28" i="1"/>
  <c r="E28" i="1"/>
  <c r="C28" i="1" s="1"/>
  <c r="Q27" i="1"/>
  <c r="S27" i="1" s="1"/>
  <c r="P27" i="1"/>
  <c r="N27" i="1"/>
  <c r="K27" i="1"/>
  <c r="I27" i="1"/>
  <c r="E27" i="1"/>
  <c r="C27" i="1" s="1"/>
  <c r="P26" i="1"/>
  <c r="N26" i="1"/>
  <c r="J26" i="1"/>
  <c r="K26" i="1" s="1"/>
  <c r="I26" i="1"/>
  <c r="E26" i="1"/>
  <c r="P25" i="1"/>
  <c r="M25" i="1"/>
  <c r="N25" i="1" s="1"/>
  <c r="J25" i="1"/>
  <c r="I25" i="1"/>
  <c r="E25" i="1"/>
  <c r="C25" i="1" s="1"/>
  <c r="Q24" i="1"/>
  <c r="S24" i="1" s="1"/>
  <c r="P24" i="1"/>
  <c r="N24" i="1"/>
  <c r="K24" i="1"/>
  <c r="I24" i="1"/>
  <c r="E24" i="1"/>
  <c r="Q23" i="1"/>
  <c r="S23" i="1" s="1"/>
  <c r="P23" i="1"/>
  <c r="N23" i="1"/>
  <c r="K23" i="1"/>
  <c r="I23" i="1"/>
  <c r="E23" i="1"/>
  <c r="C23" i="1" s="1"/>
  <c r="Q22" i="1"/>
  <c r="S22" i="1" s="1"/>
  <c r="P22" i="1"/>
  <c r="N22" i="1"/>
  <c r="K22" i="1"/>
  <c r="I22" i="1"/>
  <c r="E22" i="1"/>
  <c r="C22" i="1" s="1"/>
  <c r="P21" i="1"/>
  <c r="N21" i="1"/>
  <c r="J21" i="1"/>
  <c r="K21" i="1" s="1"/>
  <c r="I21" i="1"/>
  <c r="E21" i="1"/>
  <c r="O20" i="1"/>
  <c r="N20" i="1"/>
  <c r="I20" i="1"/>
  <c r="E20" i="1"/>
  <c r="C20" i="1" s="1"/>
  <c r="Q19" i="1"/>
  <c r="S19" i="1" s="1"/>
  <c r="P19" i="1"/>
  <c r="N19" i="1"/>
  <c r="K19" i="1"/>
  <c r="I19" i="1"/>
  <c r="E19" i="1"/>
  <c r="Q18" i="1"/>
  <c r="S18" i="1" s="1"/>
  <c r="N18" i="1"/>
  <c r="K18" i="1"/>
  <c r="I18" i="1"/>
  <c r="E18" i="1"/>
  <c r="P17" i="1"/>
  <c r="N17" i="1"/>
  <c r="J17" i="1"/>
  <c r="I17" i="1"/>
  <c r="E17" i="1"/>
  <c r="C17" i="1" s="1"/>
  <c r="Q16" i="1"/>
  <c r="S16" i="1" s="1"/>
  <c r="P16" i="1"/>
  <c r="K16" i="1"/>
  <c r="I16" i="1"/>
  <c r="E16" i="1"/>
  <c r="C16" i="1" s="1"/>
  <c r="Q15" i="1"/>
  <c r="S15" i="1" s="1"/>
  <c r="P15" i="1"/>
  <c r="N15" i="1"/>
  <c r="K15" i="1"/>
  <c r="I15" i="1"/>
  <c r="E15" i="1"/>
  <c r="P14" i="1"/>
  <c r="N14" i="1"/>
  <c r="J14" i="1"/>
  <c r="Q14" i="1" s="1"/>
  <c r="I14" i="1"/>
  <c r="E14" i="1"/>
  <c r="C14" i="1" s="1"/>
  <c r="P13" i="1"/>
  <c r="N13" i="1"/>
  <c r="J13" i="1"/>
  <c r="Q13" i="1" s="1"/>
  <c r="S13" i="1" s="1"/>
  <c r="I13" i="1"/>
  <c r="E13" i="1"/>
  <c r="C13" i="1" s="1"/>
  <c r="Q12" i="1"/>
  <c r="S12" i="1" s="1"/>
  <c r="P12" i="1"/>
  <c r="N12" i="1"/>
  <c r="K12" i="1"/>
  <c r="I12" i="1"/>
  <c r="E12" i="1"/>
  <c r="P11" i="1"/>
  <c r="N11" i="1"/>
  <c r="J11" i="1"/>
  <c r="I11" i="1"/>
  <c r="E11" i="1"/>
  <c r="C11" i="1" s="1"/>
  <c r="P10" i="1"/>
  <c r="N10" i="1"/>
  <c r="K10" i="1"/>
  <c r="H10" i="1"/>
  <c r="E10" i="1"/>
  <c r="P9" i="1"/>
  <c r="N9" i="1"/>
  <c r="K9" i="1"/>
  <c r="H9" i="1"/>
  <c r="E9" i="1"/>
  <c r="C9" i="1" s="1"/>
  <c r="Q8" i="1"/>
  <c r="S8" i="1" s="1"/>
  <c r="P8" i="1"/>
  <c r="N8" i="1"/>
  <c r="K8" i="1"/>
  <c r="I8" i="1"/>
  <c r="E8" i="1"/>
  <c r="C8" i="1" s="1"/>
  <c r="E87" i="4" l="1"/>
  <c r="J87" i="4"/>
  <c r="N87" i="1"/>
  <c r="K41" i="1"/>
  <c r="R41" i="1" s="1"/>
  <c r="I9" i="1"/>
  <c r="R9" i="1" s="1"/>
  <c r="Q9" i="1"/>
  <c r="S9" i="1" s="1"/>
  <c r="P20" i="1"/>
  <c r="R76" i="1"/>
  <c r="K52" i="1"/>
  <c r="R52" i="1" s="1"/>
  <c r="R45" i="1"/>
  <c r="R43" i="1"/>
  <c r="R59" i="1"/>
  <c r="R62" i="1"/>
  <c r="R15" i="1"/>
  <c r="R22" i="1"/>
  <c r="R28" i="1"/>
  <c r="R30" i="1"/>
  <c r="R35" i="1"/>
  <c r="K11" i="1"/>
  <c r="R11" i="1" s="1"/>
  <c r="K13" i="1"/>
  <c r="R13" i="1" s="1"/>
  <c r="K25" i="1"/>
  <c r="R25" i="1" s="1"/>
  <c r="R27" i="1"/>
  <c r="K47" i="1"/>
  <c r="R47" i="1" s="1"/>
  <c r="R48" i="1"/>
  <c r="R73" i="1"/>
  <c r="R74" i="1"/>
  <c r="O87" i="1"/>
  <c r="Q25" i="1"/>
  <c r="S25" i="1" s="1"/>
  <c r="R23" i="1"/>
  <c r="R36" i="1"/>
  <c r="R38" i="1"/>
  <c r="R42" i="1"/>
  <c r="Q45" i="1"/>
  <c r="S45" i="1" s="1"/>
  <c r="K55" i="1"/>
  <c r="S55" i="1" s="1"/>
  <c r="R66" i="1"/>
  <c r="R68" i="1"/>
  <c r="C45" i="1"/>
  <c r="R49" i="1"/>
  <c r="R53" i="1"/>
  <c r="R56" i="1"/>
  <c r="C59" i="1"/>
  <c r="K64" i="1"/>
  <c r="R64" i="1" s="1"/>
  <c r="R65" i="1"/>
  <c r="C76" i="1"/>
  <c r="C12" i="1"/>
  <c r="R12" i="1"/>
  <c r="Q17" i="1"/>
  <c r="S17" i="1" s="1"/>
  <c r="C71" i="1"/>
  <c r="R71" i="1"/>
  <c r="R8" i="1"/>
  <c r="K17" i="1"/>
  <c r="R17" i="1" s="1"/>
  <c r="C24" i="1"/>
  <c r="R24" i="1"/>
  <c r="S31" i="1"/>
  <c r="K31" i="1"/>
  <c r="R31" i="1" s="1"/>
  <c r="R32" i="1"/>
  <c r="C32" i="1"/>
  <c r="S39" i="1"/>
  <c r="K39" i="1"/>
  <c r="R39" i="1" s="1"/>
  <c r="C40" i="1"/>
  <c r="R40" i="1"/>
  <c r="C50" i="1"/>
  <c r="R50" i="1"/>
  <c r="C72" i="1"/>
  <c r="R72" i="1"/>
  <c r="R75" i="1"/>
  <c r="Q10" i="1"/>
  <c r="I10" i="1"/>
  <c r="Q11" i="1"/>
  <c r="S11" i="1" s="1"/>
  <c r="S14" i="1"/>
  <c r="K14" i="1"/>
  <c r="R14" i="1" s="1"/>
  <c r="C15" i="1"/>
  <c r="C18" i="1"/>
  <c r="R18" i="1"/>
  <c r="K33" i="1"/>
  <c r="R33" i="1" s="1"/>
  <c r="Q33" i="1"/>
  <c r="S33" i="1" s="1"/>
  <c r="R34" i="1"/>
  <c r="C46" i="1"/>
  <c r="R46" i="1"/>
  <c r="C51" i="1"/>
  <c r="R51" i="1"/>
  <c r="C54" i="1"/>
  <c r="R54" i="1"/>
  <c r="R61" i="1"/>
  <c r="C69" i="1"/>
  <c r="R69" i="1"/>
  <c r="R21" i="1"/>
  <c r="C21" i="1"/>
  <c r="C29" i="1"/>
  <c r="R29" i="1"/>
  <c r="C37" i="1"/>
  <c r="R37" i="1"/>
  <c r="C44" i="1"/>
  <c r="R44" i="1"/>
  <c r="C58" i="1"/>
  <c r="R58" i="1"/>
  <c r="C10" i="1"/>
  <c r="R16" i="1"/>
  <c r="C19" i="1"/>
  <c r="R19" i="1"/>
  <c r="R26" i="1"/>
  <c r="C26" i="1"/>
  <c r="C57" i="1"/>
  <c r="R57" i="1"/>
  <c r="R60" i="1"/>
  <c r="C70" i="1"/>
  <c r="R70" i="1"/>
  <c r="Q63" i="1"/>
  <c r="S63" i="1" s="1"/>
  <c r="Q21" i="1"/>
  <c r="S21" i="1" s="1"/>
  <c r="Q26" i="1"/>
  <c r="S26" i="1" s="1"/>
  <c r="Q32" i="1"/>
  <c r="S32" i="1" s="1"/>
  <c r="K63" i="1"/>
  <c r="R63" i="1" s="1"/>
  <c r="J20" i="1"/>
  <c r="K67" i="1"/>
  <c r="R67" i="1" s="1"/>
  <c r="R55" i="1" l="1"/>
  <c r="R10" i="1"/>
  <c r="Q20" i="1"/>
  <c r="K20" i="1"/>
  <c r="R20" i="1" s="1"/>
  <c r="S10" i="1"/>
  <c r="H87" i="1"/>
  <c r="F87" i="1"/>
  <c r="E87" i="1"/>
  <c r="D87" i="1"/>
  <c r="S20" i="1" l="1"/>
  <c r="H87" i="5"/>
  <c r="J86" i="5"/>
  <c r="K86" i="5" s="1"/>
  <c r="L77" i="4"/>
  <c r="E82" i="6"/>
  <c r="E83" i="6"/>
  <c r="L83" i="7"/>
  <c r="L84" i="7"/>
  <c r="L85" i="7"/>
  <c r="L81" i="7"/>
  <c r="L82" i="7"/>
  <c r="R77" i="6"/>
  <c r="R78" i="6"/>
  <c r="R79" i="6"/>
  <c r="R80" i="6"/>
  <c r="R81" i="6"/>
  <c r="R82" i="6"/>
  <c r="R83" i="6"/>
  <c r="R84" i="6"/>
  <c r="R85" i="6"/>
  <c r="R76" i="6"/>
  <c r="K83" i="6"/>
  <c r="K82" i="6"/>
  <c r="K84" i="6"/>
  <c r="K85" i="6"/>
  <c r="H81" i="6"/>
  <c r="H82" i="6"/>
  <c r="H84" i="6"/>
  <c r="H85" i="6"/>
  <c r="E84" i="6"/>
  <c r="E85" i="6"/>
  <c r="E80" i="6"/>
  <c r="O83" i="5"/>
  <c r="O84" i="5"/>
  <c r="O85" i="5"/>
  <c r="O86" i="5"/>
  <c r="O82" i="5"/>
  <c r="J85" i="5"/>
  <c r="J84" i="5"/>
  <c r="K84" i="5" s="1"/>
  <c r="J83" i="5"/>
  <c r="K83" i="5" s="1"/>
  <c r="J82" i="5"/>
  <c r="K82" i="5" s="1"/>
  <c r="J80" i="5"/>
  <c r="F82" i="5"/>
  <c r="F83" i="5"/>
  <c r="F84" i="5"/>
  <c r="F85" i="5"/>
  <c r="F86" i="5"/>
  <c r="Q77" i="1"/>
  <c r="S77" i="1" s="1"/>
  <c r="Q80" i="1"/>
  <c r="S80" i="1" s="1"/>
  <c r="Q81" i="1"/>
  <c r="S81" i="1" s="1"/>
  <c r="S83" i="1"/>
  <c r="S84" i="1"/>
  <c r="S86" i="1"/>
  <c r="S85" i="1"/>
  <c r="S82" i="1"/>
  <c r="K85" i="5" l="1"/>
  <c r="Q87" i="1"/>
  <c r="L80" i="7"/>
  <c r="J76" i="5" l="1"/>
  <c r="E77" i="6"/>
  <c r="E76" i="6"/>
  <c r="H87" i="8" l="1"/>
  <c r="G87" i="8"/>
  <c r="F87" i="8"/>
  <c r="E87" i="8"/>
  <c r="D87" i="8"/>
  <c r="C87" i="8"/>
  <c r="K86" i="7"/>
  <c r="I86" i="7"/>
  <c r="H86" i="7"/>
  <c r="G86" i="7"/>
  <c r="E86" i="7"/>
  <c r="P86" i="6"/>
  <c r="N86" i="6"/>
  <c r="M86" i="6"/>
  <c r="J86" i="6"/>
  <c r="I86" i="6"/>
  <c r="D86" i="6"/>
  <c r="C86" i="6"/>
  <c r="K80" i="6"/>
  <c r="L80" i="5"/>
  <c r="C77" i="1"/>
  <c r="C78" i="1"/>
  <c r="C79" i="1"/>
  <c r="C80" i="1"/>
  <c r="C81" i="1"/>
  <c r="G87" i="1"/>
  <c r="P87" i="1"/>
  <c r="E86" i="6" l="1"/>
  <c r="K86" i="6"/>
  <c r="K81" i="6" l="1"/>
  <c r="C87" i="4"/>
  <c r="O87" i="4"/>
  <c r="P87" i="4"/>
  <c r="Q87" i="4"/>
  <c r="R87" i="4"/>
  <c r="S87" i="4"/>
  <c r="U82" i="4"/>
  <c r="W82" i="4"/>
  <c r="F81" i="7"/>
  <c r="V82" i="4"/>
  <c r="N82" i="4"/>
  <c r="N87" i="4" s="1"/>
  <c r="T82" i="4" l="1"/>
  <c r="L82" i="4" l="1"/>
  <c r="M82" i="4"/>
  <c r="L79" i="7" l="1"/>
  <c r="L76" i="7"/>
  <c r="K77" i="6"/>
  <c r="H77" i="6"/>
  <c r="N76" i="5"/>
  <c r="O76" i="5" s="1"/>
  <c r="F76" i="5"/>
  <c r="F80" i="7" l="1"/>
  <c r="C80" i="7"/>
  <c r="F79" i="7"/>
  <c r="C79" i="7"/>
  <c r="L78" i="7"/>
  <c r="F78" i="7"/>
  <c r="C78" i="7"/>
  <c r="L77" i="7"/>
  <c r="F77" i="7"/>
  <c r="C77" i="7"/>
  <c r="F76" i="7"/>
  <c r="C76" i="7"/>
  <c r="H80" i="6"/>
  <c r="F79" i="6"/>
  <c r="F86" i="6" s="1"/>
  <c r="E79" i="6"/>
  <c r="H78" i="6"/>
  <c r="E78" i="6"/>
  <c r="R86" i="6"/>
  <c r="L76" i="6"/>
  <c r="L86" i="6" s="1"/>
  <c r="K76" i="6"/>
  <c r="N80" i="5"/>
  <c r="M80" i="5"/>
  <c r="F80" i="5"/>
  <c r="M79" i="5"/>
  <c r="M87" i="5" s="1"/>
  <c r="I79" i="5"/>
  <c r="G79" i="5"/>
  <c r="L79" i="5" s="1"/>
  <c r="F79" i="5"/>
  <c r="N78" i="5"/>
  <c r="O78" i="5" s="1"/>
  <c r="J78" i="5"/>
  <c r="F78" i="5"/>
  <c r="N77" i="5"/>
  <c r="O77" i="5" s="1"/>
  <c r="J77" i="5"/>
  <c r="F77" i="5"/>
  <c r="O80" i="5" l="1"/>
  <c r="G79" i="6"/>
  <c r="G86" i="6" s="1"/>
  <c r="H86" i="6" s="1"/>
  <c r="N79" i="5"/>
  <c r="J79" i="5"/>
  <c r="W81" i="4"/>
  <c r="V81" i="4"/>
  <c r="U81" i="4"/>
  <c r="N81" i="4"/>
  <c r="T81" i="4"/>
  <c r="W80" i="4"/>
  <c r="V80" i="4"/>
  <c r="U80" i="4"/>
  <c r="N80" i="4"/>
  <c r="T80" i="4"/>
  <c r="W79" i="4"/>
  <c r="V79" i="4"/>
  <c r="U79" i="4"/>
  <c r="T79" i="4"/>
  <c r="N79" i="4"/>
  <c r="M79" i="4"/>
  <c r="L79" i="4"/>
  <c r="V78" i="4"/>
  <c r="U78" i="4"/>
  <c r="T78" i="4"/>
  <c r="M78" i="4"/>
  <c r="L78" i="4"/>
  <c r="S78" i="4" s="1"/>
  <c r="W77" i="4"/>
  <c r="V77" i="4"/>
  <c r="U77" i="4"/>
  <c r="N77" i="4"/>
  <c r="M77" i="4"/>
  <c r="R81" i="1"/>
  <c r="K80" i="5" s="1"/>
  <c r="R80" i="1"/>
  <c r="R79" i="1"/>
  <c r="K78" i="5" s="1"/>
  <c r="K77" i="5"/>
  <c r="R77" i="1"/>
  <c r="K76" i="5" s="1"/>
  <c r="K79" i="5" l="1"/>
  <c r="M80" i="4"/>
  <c r="H79" i="6"/>
  <c r="O79" i="5"/>
  <c r="W78" i="4"/>
  <c r="N78" i="4"/>
  <c r="L81" i="4"/>
  <c r="L80" i="4"/>
  <c r="M81" i="4"/>
  <c r="T77" i="4"/>
  <c r="N9" i="4" l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F86" i="7" l="1"/>
  <c r="W58" i="4" l="1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43" i="4"/>
  <c r="W44" i="4"/>
  <c r="W45" i="4"/>
  <c r="W46" i="4"/>
  <c r="W47" i="4"/>
  <c r="W49" i="4"/>
  <c r="W50" i="4"/>
  <c r="W51" i="4"/>
  <c r="W52" i="4"/>
  <c r="W53" i="4"/>
  <c r="W54" i="4"/>
  <c r="W55" i="4"/>
  <c r="W56" i="4"/>
  <c r="W57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11" i="4"/>
  <c r="W12" i="4"/>
  <c r="W13" i="4"/>
  <c r="W14" i="4"/>
  <c r="W16" i="4"/>
  <c r="W18" i="4"/>
  <c r="W19" i="4"/>
  <c r="W21" i="4"/>
  <c r="W22" i="4"/>
  <c r="W23" i="4"/>
  <c r="W24" i="4"/>
  <c r="W17" i="4" l="1"/>
  <c r="L87" i="1"/>
  <c r="W48" i="4"/>
  <c r="U22" i="4"/>
  <c r="U10" i="4"/>
  <c r="U40" i="4"/>
  <c r="U58" i="4"/>
  <c r="U72" i="4"/>
  <c r="U25" i="4"/>
  <c r="U21" i="4"/>
  <c r="U17" i="4"/>
  <c r="U13" i="4"/>
  <c r="U9" i="4"/>
  <c r="U32" i="4"/>
  <c r="U28" i="4"/>
  <c r="U39" i="4"/>
  <c r="U50" i="4"/>
  <c r="U46" i="4"/>
  <c r="U65" i="4"/>
  <c r="U61" i="4"/>
  <c r="U57" i="4"/>
  <c r="U53" i="4"/>
  <c r="U75" i="4"/>
  <c r="U71" i="4"/>
  <c r="U67" i="4"/>
  <c r="U26" i="4"/>
  <c r="U14" i="4"/>
  <c r="U29" i="4"/>
  <c r="U47" i="4"/>
  <c r="U62" i="4"/>
  <c r="U76" i="4"/>
  <c r="U24" i="4"/>
  <c r="U20" i="4"/>
  <c r="U16" i="4"/>
  <c r="U12" i="4"/>
  <c r="U35" i="4"/>
  <c r="U31" i="4"/>
  <c r="U42" i="4"/>
  <c r="U38" i="4"/>
  <c r="U49" i="4"/>
  <c r="U45" i="4"/>
  <c r="U64" i="4"/>
  <c r="U60" i="4"/>
  <c r="U56" i="4"/>
  <c r="U52" i="4"/>
  <c r="U74" i="4"/>
  <c r="U70" i="4"/>
  <c r="U66" i="4"/>
  <c r="U18" i="4"/>
  <c r="U33" i="4"/>
  <c r="U36" i="4"/>
  <c r="U43" i="4"/>
  <c r="U54" i="4"/>
  <c r="U68" i="4"/>
  <c r="U27" i="4"/>
  <c r="U23" i="4"/>
  <c r="U19" i="4"/>
  <c r="U15" i="4"/>
  <c r="U11" i="4"/>
  <c r="U34" i="4"/>
  <c r="U30" i="4"/>
  <c r="U41" i="4"/>
  <c r="U37" i="4"/>
  <c r="U48" i="4"/>
  <c r="U44" i="4"/>
  <c r="U63" i="4"/>
  <c r="U59" i="4"/>
  <c r="U55" i="4"/>
  <c r="U51" i="4"/>
  <c r="U73" i="4"/>
  <c r="U69" i="4"/>
  <c r="U8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70" i="4"/>
  <c r="V69" i="4"/>
  <c r="V68" i="4"/>
  <c r="V67" i="4"/>
  <c r="V66" i="4"/>
  <c r="V65" i="4"/>
  <c r="V64" i="4"/>
  <c r="V63" i="4"/>
  <c r="V62" i="4"/>
  <c r="V61" i="4"/>
  <c r="V60" i="4"/>
  <c r="V59" i="4"/>
  <c r="V76" i="4"/>
  <c r="V75" i="4"/>
  <c r="V74" i="4"/>
  <c r="V73" i="4"/>
  <c r="V72" i="4"/>
  <c r="V71" i="4"/>
  <c r="W15" i="4" l="1"/>
  <c r="D86" i="7"/>
  <c r="C86" i="7"/>
  <c r="J86" i="7"/>
  <c r="Q86" i="6"/>
  <c r="N19" i="5"/>
  <c r="I19" i="5"/>
  <c r="L19" i="5"/>
  <c r="G19" i="5"/>
  <c r="N7" i="5"/>
  <c r="I7" i="5"/>
  <c r="L7" i="5"/>
  <c r="G7" i="5"/>
  <c r="N16" i="5"/>
  <c r="I16" i="5"/>
  <c r="L16" i="5"/>
  <c r="G16" i="5"/>
  <c r="N14" i="5"/>
  <c r="I14" i="5"/>
  <c r="L14" i="5"/>
  <c r="G14" i="5"/>
  <c r="N9" i="5"/>
  <c r="I9" i="5"/>
  <c r="L9" i="5"/>
  <c r="L10" i="5"/>
  <c r="O10" i="5" s="1"/>
  <c r="G9" i="5"/>
  <c r="F63" i="5"/>
  <c r="F64" i="5"/>
  <c r="F65" i="5"/>
  <c r="F66" i="5"/>
  <c r="F67" i="5"/>
  <c r="F68" i="5"/>
  <c r="F69" i="5"/>
  <c r="F70" i="5"/>
  <c r="F71" i="5"/>
  <c r="F72" i="5"/>
  <c r="F73" i="5"/>
  <c r="F51" i="5"/>
  <c r="F52" i="5"/>
  <c r="F53" i="5"/>
  <c r="F54" i="5"/>
  <c r="F55" i="5"/>
  <c r="F56" i="5"/>
  <c r="F57" i="5"/>
  <c r="F58" i="5"/>
  <c r="F59" i="5"/>
  <c r="F60" i="5"/>
  <c r="F61" i="5"/>
  <c r="F62" i="5"/>
  <c r="F39" i="5"/>
  <c r="F40" i="5"/>
  <c r="F41" i="5"/>
  <c r="F42" i="5"/>
  <c r="F43" i="5"/>
  <c r="F44" i="5"/>
  <c r="F45" i="5"/>
  <c r="F46" i="5"/>
  <c r="F47" i="5"/>
  <c r="F48" i="5"/>
  <c r="F49" i="5"/>
  <c r="F50" i="5"/>
  <c r="F28" i="5"/>
  <c r="F29" i="5"/>
  <c r="F30" i="5"/>
  <c r="F31" i="5"/>
  <c r="F32" i="5"/>
  <c r="F33" i="5"/>
  <c r="F34" i="5"/>
  <c r="F35" i="5"/>
  <c r="F36" i="5"/>
  <c r="F37" i="5"/>
  <c r="F38" i="5"/>
  <c r="F27" i="5"/>
  <c r="L8" i="5"/>
  <c r="N8" i="5"/>
  <c r="I8" i="5"/>
  <c r="G8" i="5"/>
  <c r="F26" i="5"/>
  <c r="F25" i="5"/>
  <c r="F24" i="5"/>
  <c r="F23" i="5"/>
  <c r="F22" i="5"/>
  <c r="F21" i="5"/>
  <c r="F13" i="5"/>
  <c r="F14" i="5"/>
  <c r="F15" i="5"/>
  <c r="F16" i="5"/>
  <c r="F17" i="5"/>
  <c r="F18" i="5"/>
  <c r="F19" i="5"/>
  <c r="F20" i="5"/>
  <c r="O12" i="5"/>
  <c r="F12" i="5"/>
  <c r="F11" i="5"/>
  <c r="F10" i="5"/>
  <c r="F9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11" i="5"/>
  <c r="O13" i="5"/>
  <c r="O15" i="5"/>
  <c r="O17" i="5"/>
  <c r="O18" i="5"/>
  <c r="O20" i="5"/>
  <c r="O21" i="5"/>
  <c r="O22" i="5"/>
  <c r="J73" i="5"/>
  <c r="J74" i="5"/>
  <c r="K74" i="5" s="1"/>
  <c r="J75" i="5"/>
  <c r="K75" i="5" s="1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21" i="5"/>
  <c r="J22" i="5"/>
  <c r="J23" i="5"/>
  <c r="J24" i="5"/>
  <c r="J25" i="5"/>
  <c r="J10" i="5"/>
  <c r="J11" i="5"/>
  <c r="J12" i="5"/>
  <c r="J13" i="5"/>
  <c r="J15" i="5"/>
  <c r="J17" i="5"/>
  <c r="J18" i="5"/>
  <c r="J20" i="5"/>
  <c r="F8" i="5"/>
  <c r="F7" i="5"/>
  <c r="L37" i="4"/>
  <c r="G87" i="5" l="1"/>
  <c r="I87" i="5"/>
  <c r="N87" i="5"/>
  <c r="L87" i="5"/>
  <c r="I87" i="1"/>
  <c r="J14" i="5"/>
  <c r="K14" i="5" s="1"/>
  <c r="T9" i="4"/>
  <c r="M87" i="1"/>
  <c r="J87" i="1"/>
  <c r="S87" i="1" s="1"/>
  <c r="K87" i="1"/>
  <c r="L10" i="4"/>
  <c r="K25" i="5"/>
  <c r="O19" i="5"/>
  <c r="J8" i="5"/>
  <c r="J9" i="5"/>
  <c r="K9" i="5" s="1"/>
  <c r="O9" i="5"/>
  <c r="O14" i="5"/>
  <c r="O16" i="5"/>
  <c r="O7" i="5"/>
  <c r="O8" i="5"/>
  <c r="J16" i="5"/>
  <c r="K16" i="5" s="1"/>
  <c r="J19" i="5"/>
  <c r="J7" i="5"/>
  <c r="T76" i="4"/>
  <c r="T75" i="4"/>
  <c r="L75" i="4"/>
  <c r="M75" i="4"/>
  <c r="T74" i="4"/>
  <c r="L74" i="4"/>
  <c r="M74" i="4"/>
  <c r="T73" i="4"/>
  <c r="L73" i="4"/>
  <c r="M73" i="4"/>
  <c r="T72" i="4"/>
  <c r="L72" i="4"/>
  <c r="M72" i="4"/>
  <c r="T71" i="4"/>
  <c r="L71" i="4"/>
  <c r="M71" i="4"/>
  <c r="T70" i="4"/>
  <c r="L70" i="4"/>
  <c r="M70" i="4"/>
  <c r="T69" i="4"/>
  <c r="L69" i="4"/>
  <c r="M69" i="4"/>
  <c r="T68" i="4"/>
  <c r="L68" i="4"/>
  <c r="M68" i="4"/>
  <c r="T67" i="4"/>
  <c r="L67" i="4"/>
  <c r="M67" i="4"/>
  <c r="T66" i="4"/>
  <c r="L66" i="4"/>
  <c r="M66" i="4"/>
  <c r="T65" i="4"/>
  <c r="L65" i="4"/>
  <c r="M65" i="4"/>
  <c r="T64" i="4"/>
  <c r="L64" i="4"/>
  <c r="M64" i="4"/>
  <c r="T63" i="4"/>
  <c r="L63" i="4"/>
  <c r="M63" i="4"/>
  <c r="T62" i="4"/>
  <c r="L62" i="4"/>
  <c r="M62" i="4"/>
  <c r="T61" i="4"/>
  <c r="L61" i="4"/>
  <c r="M61" i="4"/>
  <c r="T60" i="4"/>
  <c r="L60" i="4"/>
  <c r="M60" i="4"/>
  <c r="T59" i="4"/>
  <c r="L59" i="4"/>
  <c r="M59" i="4"/>
  <c r="T58" i="4"/>
  <c r="L58" i="4"/>
  <c r="M58" i="4"/>
  <c r="T57" i="4"/>
  <c r="L57" i="4"/>
  <c r="M57" i="4"/>
  <c r="T56" i="4"/>
  <c r="L56" i="4"/>
  <c r="M56" i="4"/>
  <c r="T55" i="4"/>
  <c r="L55" i="4"/>
  <c r="M55" i="4"/>
  <c r="T54" i="4"/>
  <c r="L54" i="4"/>
  <c r="M54" i="4"/>
  <c r="T53" i="4"/>
  <c r="L53" i="4"/>
  <c r="M53" i="4"/>
  <c r="T52" i="4"/>
  <c r="L52" i="4"/>
  <c r="M52" i="4"/>
  <c r="T51" i="4"/>
  <c r="L51" i="4"/>
  <c r="M51" i="4"/>
  <c r="T50" i="4"/>
  <c r="L50" i="4"/>
  <c r="M50" i="4"/>
  <c r="T49" i="4"/>
  <c r="L49" i="4"/>
  <c r="M49" i="4"/>
  <c r="T48" i="4"/>
  <c r="L48" i="4"/>
  <c r="M48" i="4"/>
  <c r="T47" i="4"/>
  <c r="L47" i="4"/>
  <c r="M47" i="4"/>
  <c r="T46" i="4"/>
  <c r="L46" i="4"/>
  <c r="M46" i="4"/>
  <c r="T45" i="4"/>
  <c r="L45" i="4"/>
  <c r="M45" i="4"/>
  <c r="T44" i="4"/>
  <c r="L44" i="4"/>
  <c r="M44" i="4"/>
  <c r="T43" i="4"/>
  <c r="L43" i="4"/>
  <c r="M43" i="4"/>
  <c r="T42" i="4"/>
  <c r="L42" i="4"/>
  <c r="M42" i="4"/>
  <c r="T41" i="4"/>
  <c r="L41" i="4"/>
  <c r="M41" i="4"/>
  <c r="T40" i="4"/>
  <c r="L40" i="4"/>
  <c r="M40" i="4"/>
  <c r="T39" i="4"/>
  <c r="L39" i="4"/>
  <c r="M39" i="4"/>
  <c r="T38" i="4"/>
  <c r="L38" i="4"/>
  <c r="M38" i="4"/>
  <c r="T37" i="4"/>
  <c r="M37" i="4"/>
  <c r="T36" i="4"/>
  <c r="L36" i="4"/>
  <c r="M36" i="4"/>
  <c r="T35" i="4"/>
  <c r="L35" i="4"/>
  <c r="M35" i="4"/>
  <c r="T34" i="4"/>
  <c r="L34" i="4"/>
  <c r="M34" i="4"/>
  <c r="T33" i="4"/>
  <c r="L33" i="4"/>
  <c r="M33" i="4"/>
  <c r="T32" i="4"/>
  <c r="L32" i="4"/>
  <c r="M32" i="4"/>
  <c r="T31" i="4"/>
  <c r="L31" i="4"/>
  <c r="M31" i="4"/>
  <c r="T30" i="4"/>
  <c r="L30" i="4"/>
  <c r="M30" i="4"/>
  <c r="T29" i="4"/>
  <c r="L29" i="4"/>
  <c r="M29" i="4"/>
  <c r="T28" i="4"/>
  <c r="L28" i="4"/>
  <c r="M28" i="4"/>
  <c r="T27" i="4"/>
  <c r="L27" i="4"/>
  <c r="M27" i="4"/>
  <c r="T26" i="4"/>
  <c r="L26" i="4"/>
  <c r="M26" i="4"/>
  <c r="T25" i="4"/>
  <c r="L25" i="4"/>
  <c r="M25" i="4"/>
  <c r="T24" i="4"/>
  <c r="L24" i="4"/>
  <c r="M24" i="4"/>
  <c r="T23" i="4"/>
  <c r="L23" i="4"/>
  <c r="M23" i="4"/>
  <c r="T22" i="4"/>
  <c r="L22" i="4"/>
  <c r="M22" i="4"/>
  <c r="T21" i="4"/>
  <c r="L21" i="4"/>
  <c r="M21" i="4"/>
  <c r="T19" i="4"/>
  <c r="L19" i="4"/>
  <c r="M19" i="4"/>
  <c r="T18" i="4"/>
  <c r="L18" i="4"/>
  <c r="M18" i="4"/>
  <c r="T17" i="4"/>
  <c r="L17" i="4"/>
  <c r="M17" i="4"/>
  <c r="T16" i="4"/>
  <c r="L16" i="4"/>
  <c r="M16" i="4"/>
  <c r="T15" i="4"/>
  <c r="L15" i="4"/>
  <c r="M15" i="4"/>
  <c r="T14" i="4"/>
  <c r="L14" i="4"/>
  <c r="M14" i="4"/>
  <c r="T13" i="4"/>
  <c r="L13" i="4"/>
  <c r="M13" i="4"/>
  <c r="T12" i="4"/>
  <c r="L12" i="4"/>
  <c r="M12" i="4"/>
  <c r="T11" i="4"/>
  <c r="L11" i="4"/>
  <c r="M11" i="4"/>
  <c r="K20" i="5"/>
  <c r="K18" i="5"/>
  <c r="K17" i="5"/>
  <c r="K15" i="5"/>
  <c r="K13" i="5"/>
  <c r="K12" i="5"/>
  <c r="K11" i="5"/>
  <c r="K10" i="5"/>
  <c r="K24" i="5"/>
  <c r="K23" i="5"/>
  <c r="K22" i="5"/>
  <c r="K21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73" i="5"/>
  <c r="O87" i="5" l="1"/>
  <c r="J87" i="5"/>
  <c r="W20" i="4"/>
  <c r="K7" i="5"/>
  <c r="K19" i="5"/>
  <c r="L86" i="7"/>
  <c r="W8" i="4"/>
  <c r="M10" i="4"/>
  <c r="W10" i="4"/>
  <c r="W9" i="4"/>
  <c r="R87" i="1"/>
  <c r="K8" i="5"/>
  <c r="T10" i="4"/>
  <c r="M9" i="4"/>
  <c r="L9" i="4"/>
  <c r="K87" i="5" l="1"/>
  <c r="L20" i="4"/>
  <c r="T20" i="4"/>
  <c r="M20" i="4"/>
  <c r="L8" i="4"/>
  <c r="Q8" i="4" s="1"/>
  <c r="M8" i="4"/>
  <c r="T8" i="4"/>
  <c r="N8" i="4" l="1"/>
  <c r="V8" i="4"/>
  <c r="K87" i="4" l="1"/>
  <c r="H87" i="4"/>
  <c r="I87" i="4"/>
</calcChain>
</file>

<file path=xl/sharedStrings.xml><?xml version="1.0" encoding="utf-8"?>
<sst xmlns="http://schemas.openxmlformats.org/spreadsheetml/2006/main" count="611" uniqueCount="178">
  <si>
    <t>всего</t>
  </si>
  <si>
    <t xml:space="preserve">N 
пп
</t>
  </si>
  <si>
    <t xml:space="preserve">Бюджетное финансирование       </t>
  </si>
  <si>
    <t xml:space="preserve">Приносящая доход деятельность  </t>
  </si>
  <si>
    <t>Итого (тыс. руб.)</t>
  </si>
  <si>
    <t>иная приносящая доход деятельность</t>
  </si>
  <si>
    <t>Доля средств, полученных от осуществления приносящей доход деятельности, в общем объеме финансирования</t>
  </si>
  <si>
    <t xml:space="preserve"> Наименование муниципального учреждения</t>
  </si>
  <si>
    <t>субсидии на иные цели (предоставляемые в соответствии со статьей 78.1 Бюджетного кодекса Российской Федерации)</t>
  </si>
  <si>
    <t>оказание учреждением муниципальных услуг (работ),  предоставление которых осуществляется на платной основе</t>
  </si>
  <si>
    <t>Иные поступления</t>
  </si>
  <si>
    <t>субсидия на выполнение муниципального задания</t>
  </si>
  <si>
    <t>Р (тыс. руб.)</t>
  </si>
  <si>
    <t>Д (тыс.руб.)</t>
  </si>
  <si>
    <t xml:space="preserve">в том числе от сдачи в аренду имущества   
</t>
  </si>
  <si>
    <t>МАДОУ "Детский сад "Полянка" п. Мирный" Томского района</t>
  </si>
  <si>
    <t>МАДОУ "Детский сад ОВ с.Рыбалово" Томского района</t>
  </si>
  <si>
    <t>МАДОУ "Детский сад с. Корнилово" Томского района</t>
  </si>
  <si>
    <t>МАДОУ "Детский сад с. Малиновка" Томского района</t>
  </si>
  <si>
    <t>МАДОУ "ЦРР - детский сад д. Кисловка" Томского района</t>
  </si>
  <si>
    <t>МАДОУ "ЦРР - детский сад с.Моряковский Затон " Томского района</t>
  </si>
  <si>
    <t>МАОУ "Итатская СОШ" Томского района</t>
  </si>
  <si>
    <t>МАОУ "Калтайская СОШ" Томского района</t>
  </si>
  <si>
    <t>МАОУ "Кафтанчиковская СОШ" Томского района</t>
  </si>
  <si>
    <t>МАОУ "Копыловская СОШ" Томского района</t>
  </si>
  <si>
    <t>МАОУ "Малиновская СОШ" Томского района</t>
  </si>
  <si>
    <t>МАОУ "Моряковская СОШ" Томского района</t>
  </si>
  <si>
    <t>МАОУ "Спасская СОШ" Томского района</t>
  </si>
  <si>
    <t>МБДОУ "Детский сад "Рябинка" КВ" Томского района</t>
  </si>
  <si>
    <t>МБДОУ "Детский сад "Сказка" п.Зональная Станция" Томского района</t>
  </si>
  <si>
    <t>МБДОУ "Детский сад К.В. с. Октябрьское" Томского района</t>
  </si>
  <si>
    <t>МБДОУ "Детский сад КВ д.Нелюбино"</t>
  </si>
  <si>
    <t>МБДОУ "Детский сад КВ п. Молодежный" Томского района</t>
  </si>
  <si>
    <t>МБДОУ "Детский сад ОВ п. Рассвет" Томского района</t>
  </si>
  <si>
    <t>МБДОУ "Детский сад П и ОД " Томского района</t>
  </si>
  <si>
    <t>МБДОУ "Детский сад д. Кудринский участок"</t>
  </si>
  <si>
    <t>МБДОУ "Детский сад д. Черная речка" Томского района</t>
  </si>
  <si>
    <t>МБДОУ "Детский сад д.Воронино"</t>
  </si>
  <si>
    <t>МБДОУ "Детский сад п. Аэропорт"</t>
  </si>
  <si>
    <t>МБДОУ "Детский сад с. Батурино" Томского района</t>
  </si>
  <si>
    <t>МБДОУ "Детский сад с. Зоркальцево" Томского района</t>
  </si>
  <si>
    <t>МБДОУ "Детский сад с. Калтай" Томского района</t>
  </si>
  <si>
    <t>МБДОУ "Детский сад с.Александровское" Томского района</t>
  </si>
  <si>
    <t>МБДОУ "Детский сад с.Кафтанчиково"</t>
  </si>
  <si>
    <t>МБДОУ "ЦРР -  детский сад п. Копылово" Томского района</t>
  </si>
  <si>
    <t>МБДОУ "ЦРР - детский сад с. Богашёво" Томского района</t>
  </si>
  <si>
    <t>МБОУ " Мазаловская СОШ" Томского района</t>
  </si>
  <si>
    <t>МБОУ " Поросинская СОШ" Томского района</t>
  </si>
  <si>
    <t>МБОУ "Александровская СОШ" Томского района</t>
  </si>
  <si>
    <t>МБОУ "Басандайская СОШ им.Д.А.Козлова" Томского района</t>
  </si>
  <si>
    <t>МБОУ "Богашевская В(С)ОШ" Томского района</t>
  </si>
  <si>
    <t>МБОУ "Богашевская СОШ им. А.И.Федорова" Томского района</t>
  </si>
  <si>
    <t>МБОУ "Воронинская СОШ" Томского района</t>
  </si>
  <si>
    <t>МБОУ "Зональненская СОШ" Томского района</t>
  </si>
  <si>
    <t>МБОУ "Зоркальцевская СОШ" Томского района</t>
  </si>
  <si>
    <t>МБОУ "Кисловская СОШ" Томского района</t>
  </si>
  <si>
    <t>МБОУ "Корниловская СОШ" Томского района</t>
  </si>
  <si>
    <t>МБОУ "Курлекская СОШ" Томского района</t>
  </si>
  <si>
    <t>МБОУ "Лучановская СОШ" Томского района</t>
  </si>
  <si>
    <t>МБОУ "Межениновская СОШ" Томского района</t>
  </si>
  <si>
    <t>МБОУ "Мирненская СОШ" Томского района</t>
  </si>
  <si>
    <t>МБОУ "Молодёжненская СОШ" Томского района</t>
  </si>
  <si>
    <t>МБОУ "Наумовская СОШ" Томского района</t>
  </si>
  <si>
    <t>МБОУ "Нелюбинская СОШ" Томского района</t>
  </si>
  <si>
    <t>МБОУ "Новоархангельская СОШ" Томского района</t>
  </si>
  <si>
    <t>МБОУ "Новорождественская СОШ" Томского района</t>
  </si>
  <si>
    <t>МБОУ "Октябрьская СОШ" Томского района</t>
  </si>
  <si>
    <t>МБОУ "Петуховская СОШ" Томского района</t>
  </si>
  <si>
    <t>МБОУ "Рассветовская СОШ" Томского района</t>
  </si>
  <si>
    <t>МБОУ "Рыбаловская СОШ" Томского района</t>
  </si>
  <si>
    <t>МБОУ "Семилуженская СОШ" Томского района</t>
  </si>
  <si>
    <t>МБОУ "Турунтаевская СОШ" Томского района</t>
  </si>
  <si>
    <t>МБОУ "Халдеевская ООШ" Томского района</t>
  </si>
  <si>
    <t>МБОУ "Чернореченская СОШ" Томского района</t>
  </si>
  <si>
    <t>МБОУ ДОД "ДДТ" Томского района</t>
  </si>
  <si>
    <t>МБОУ ДОД "ДМШ" Томского района</t>
  </si>
  <si>
    <t>МБОУ ДОД "ДЮСШ N1" Томского района</t>
  </si>
  <si>
    <t>МБОУ ДОД "ДЮСШ N2" Томского района</t>
  </si>
  <si>
    <t>МБОУ ДОД "ДЮСШ N3" Томского района</t>
  </si>
  <si>
    <t>МБОУ ДОД "ДЮСШ N4 д.Березкино" Томского района</t>
  </si>
  <si>
    <t>МБОУ ДОД "Копыловский п/к "Одиссей" "</t>
  </si>
  <si>
    <t>МБОУ ДОД "Корниловская ДШИ" Томского района</t>
  </si>
  <si>
    <t>МБОУ ДОД "Рыбаловская ДХШ"</t>
  </si>
  <si>
    <t>N пп</t>
  </si>
  <si>
    <t xml:space="preserve">Наименование муниципального учреждения  </t>
  </si>
  <si>
    <t xml:space="preserve">Объем оказанных услуг(работ) в натуральном выражении </t>
  </si>
  <si>
    <t>Финансовый результат хозяйствующего субъекта (тыс. руб.)</t>
  </si>
  <si>
    <t>финансовый результат текущей деятельности муниципального учреждения (в разрезе источников формирования), в том числе:</t>
  </si>
  <si>
    <t>Финансовый результат прошлых отчетных периодов</t>
  </si>
  <si>
    <t xml:space="preserve">иные поступления      </t>
  </si>
  <si>
    <t xml:space="preserve">приносящая доход деятельность   </t>
  </si>
  <si>
    <t>Наименование муниципального учреждения</t>
  </si>
  <si>
    <t xml:space="preserve">Среднесписочная численность, чел. </t>
  </si>
  <si>
    <t>Среднемесячная зарабоная плата работника, руб.</t>
  </si>
  <si>
    <t>Среднемесячная заработная плата руководителя, руб.</t>
  </si>
  <si>
    <t xml:space="preserve">Источники покрытия расходов на заработную плату, тыс. руб. </t>
  </si>
  <si>
    <t>Доля расходов на заработную плату в общем объеме расходов</t>
  </si>
  <si>
    <t>Начисления на оплату труда, тыс. руб.</t>
  </si>
  <si>
    <t>средства субсидии на выполнение муниципального задания</t>
  </si>
  <si>
    <t>приносящая доход деятельность</t>
  </si>
  <si>
    <t>иные источники</t>
  </si>
  <si>
    <t xml:space="preserve">средства субсидии на выполнение муниципального задания </t>
  </si>
  <si>
    <t>Недвижимое имущество</t>
  </si>
  <si>
    <t>Прочее движимое имущество</t>
  </si>
  <si>
    <t xml:space="preserve"> Площадь объектов недвижимости,  закрепленных на праве оперативного управления (кв.  м)</t>
  </si>
  <si>
    <t xml:space="preserve">  Площадь объектов недвижимости (кв. м)      </t>
  </si>
  <si>
    <t>Арендодатель</t>
  </si>
  <si>
    <t>Сумма уплаченной арендной платы по арендуемым объектам недвижимости (тыс. руб.)</t>
  </si>
  <si>
    <t>остаточная стоимость (тыс.руб.)</t>
  </si>
  <si>
    <t>износ (%)</t>
  </si>
  <si>
    <t xml:space="preserve">Первоначальная (восстановительная) стоимость (тыс.руб.)    </t>
  </si>
  <si>
    <t>остаточная стоимость (тыс. руб.)</t>
  </si>
  <si>
    <t xml:space="preserve">Первоначальная (восстановительная) стоимость (тыс. руб.)    </t>
  </si>
  <si>
    <t xml:space="preserve"> износ (%)</t>
  </si>
  <si>
    <t>безвозмездно используемых</t>
  </si>
  <si>
    <t xml:space="preserve">арендуемых  </t>
  </si>
  <si>
    <t>из бюджетных средств</t>
  </si>
  <si>
    <t>из средств  приносящей доход деятельности</t>
  </si>
  <si>
    <t xml:space="preserve"> всего</t>
  </si>
  <si>
    <t>Оплата капитального ремонта объекта недвижимости (тыс. руб.)</t>
  </si>
  <si>
    <t>Оплата текущего ремонта объекта недвижимости (тыс. руб.)</t>
  </si>
  <si>
    <t xml:space="preserve"> Оплата коммунальных услуг (тыс. руб.)</t>
  </si>
  <si>
    <t>всего, в том  числе:</t>
  </si>
  <si>
    <t>из средств  субсидии на иные цели</t>
  </si>
  <si>
    <t>из средств от приносящей доход деятельности</t>
  </si>
  <si>
    <t>из средств субсидии на выполнение муниципального задания</t>
  </si>
  <si>
    <t>из средств субсидии на  иные цели</t>
  </si>
  <si>
    <t xml:space="preserve">из средств субсидии на выполнение муниципального задания </t>
  </si>
  <si>
    <t xml:space="preserve">Кредиторская задолженность, тыс. руб. </t>
  </si>
  <si>
    <t>Дебиторская задолженность, тыс. руб.</t>
  </si>
  <si>
    <t xml:space="preserve"> Списанная задолженность неплатежеспособных дебиторов, тыс. руб.</t>
  </si>
  <si>
    <t>в том числе просроченная</t>
  </si>
  <si>
    <t>в том числе  просроченная</t>
  </si>
  <si>
    <t>в том числе по заработной плате</t>
  </si>
  <si>
    <t>МБДОУ "Детский сад д.Губино" Томского района</t>
  </si>
  <si>
    <t>бюджетные инвестиции (предоставляемые в 
соответствии со статьей 79 Бюджетного кодекса РФ)</t>
  </si>
  <si>
    <t>Первоначальная (восстановительная)стоимость (тыс. руб.)</t>
  </si>
  <si>
    <t>Д (тыс. руб.)</t>
  </si>
  <si>
    <t xml:space="preserve"> Движимое (особо ценное движимое) имущество  </t>
  </si>
  <si>
    <t xml:space="preserve">Отношение среднемесячной заработной платы руководителя к среднемесячной заработной плате работника </t>
  </si>
  <si>
    <t>субсидии на  иные цели(предоставляемые в соответствии со статьей 78.1 Бюджетного кодекса РФ)</t>
  </si>
  <si>
    <t>иные доходы</t>
  </si>
  <si>
    <t>Тприроста</t>
  </si>
  <si>
    <t>Форма 1</t>
  </si>
  <si>
    <t>Форма 2</t>
  </si>
  <si>
    <t xml:space="preserve">Форма 3 </t>
  </si>
  <si>
    <t>Форма 4</t>
  </si>
  <si>
    <t>Форма 5</t>
  </si>
  <si>
    <t>Форма 6</t>
  </si>
  <si>
    <r>
      <t>Сведения о финансовом результате деятельности муниципальных учреждений и объеме оказанных ими услуг (работ) за _</t>
    </r>
    <r>
      <rPr>
        <u/>
        <sz val="16"/>
        <color theme="1"/>
        <rFont val="Times New Roman"/>
        <family val="1"/>
        <charset val="204"/>
      </rPr>
      <t>2013 год</t>
    </r>
    <r>
      <rPr>
        <sz val="16"/>
        <color theme="1"/>
        <rFont val="Times New Roman"/>
        <family val="1"/>
        <charset val="204"/>
      </rPr>
      <t xml:space="preserve">_ </t>
    </r>
  </si>
  <si>
    <r>
      <t xml:space="preserve">Сведения по численности работающих, объему и структуре затрат на оплату труда муниципальных учреждений за </t>
    </r>
    <r>
      <rPr>
        <u/>
        <sz val="16"/>
        <color theme="1"/>
        <rFont val="Times New Roman"/>
        <family val="1"/>
        <charset val="204"/>
      </rPr>
      <t>2013 год</t>
    </r>
    <r>
      <rPr>
        <sz val="16"/>
        <color theme="1"/>
        <rFont val="Times New Roman"/>
        <family val="1"/>
        <charset val="204"/>
      </rPr>
      <t xml:space="preserve">_ </t>
    </r>
  </si>
  <si>
    <r>
      <t xml:space="preserve">Сведения об имуществе муниципальных учреждений по состоянию на </t>
    </r>
    <r>
      <rPr>
        <u/>
        <sz val="16"/>
        <color theme="1"/>
        <rFont val="Times New Roman"/>
        <family val="1"/>
        <charset val="204"/>
      </rPr>
      <t>2013 год</t>
    </r>
  </si>
  <si>
    <r>
      <t xml:space="preserve">Сведения о затратах муниципальных учреждений на содержание объектов недвижимого имущества и коммунальные услуги за </t>
    </r>
    <r>
      <rPr>
        <u/>
        <sz val="16"/>
        <color theme="1"/>
        <rFont val="Times New Roman"/>
        <family val="1"/>
        <charset val="204"/>
      </rPr>
      <t>2013 год</t>
    </r>
    <r>
      <rPr>
        <sz val="16"/>
        <color theme="1"/>
        <rFont val="Times New Roman"/>
        <family val="1"/>
        <charset val="204"/>
      </rPr>
      <t xml:space="preserve"> </t>
    </r>
  </si>
  <si>
    <t>изм.на %</t>
  </si>
  <si>
    <t>иные в % к всего</t>
  </si>
  <si>
    <t>Муниципальное бюджетное учреждение "Межпоселенческая центральная библиотека Томского района"                                   (МБУ "МЦБТР")</t>
  </si>
  <si>
    <t>Муниципальное бюджетное образовательное учреждение дополнительного образования детей "Детская школа искусств д.Кисловка"</t>
  </si>
  <si>
    <t>Муниципальное бюджетное образовательное учреждение дополнительного образования детей "Детская школа искусств п.Зональная Станция"</t>
  </si>
  <si>
    <t>Муниципальное бюджетное образовательное учреждение дополнительного образования детей "Детская школа искусств п.Мирный"</t>
  </si>
  <si>
    <t>Муниципальное бюджетное образовательное учреждение дополнительного образования детей "Детская школа искусств п.Молодежный"</t>
  </si>
  <si>
    <t>1625- зарегистрированных пользователей, 21518- посещений</t>
  </si>
  <si>
    <t>ООО "Газпром трансгаз Томск"</t>
  </si>
  <si>
    <t>Муниципальное бюджетное учреждение "Межпоселенческая центральная библиотека Томского района" (МБУ "МЦБТР")</t>
  </si>
  <si>
    <t>МАУ "ЦФКиС"</t>
  </si>
  <si>
    <t>Итого</t>
  </si>
  <si>
    <t>ОГБУЗ «Томская РБ»</t>
  </si>
  <si>
    <t>1256 койко-дней</t>
  </si>
  <si>
    <r>
      <t xml:space="preserve">Сведения по объему и структуре финансирования муниципальных учреждений за </t>
    </r>
    <r>
      <rPr>
        <u/>
        <sz val="10"/>
        <color theme="1"/>
        <rFont val="Times New Roman"/>
        <family val="1"/>
        <charset val="204"/>
      </rPr>
      <t>2013 год</t>
    </r>
    <r>
      <rPr>
        <sz val="10"/>
        <color theme="1"/>
        <rFont val="Times New Roman"/>
        <family val="1"/>
        <charset val="204"/>
      </rPr>
      <t xml:space="preserve">_
</t>
    </r>
  </si>
  <si>
    <r>
      <t xml:space="preserve">Сведения о кредиторской, дебиторской задолженности муниципальных учреждений на </t>
    </r>
    <r>
      <rPr>
        <u/>
        <sz val="14"/>
        <color theme="1"/>
        <rFont val="Times New Roman"/>
        <family val="1"/>
        <charset val="204"/>
      </rPr>
      <t>2013 год</t>
    </r>
    <r>
      <rPr>
        <sz val="14"/>
        <color theme="1"/>
        <rFont val="Times New Roman"/>
        <family val="1"/>
        <charset val="204"/>
      </rPr>
      <t xml:space="preserve"> </t>
    </r>
  </si>
  <si>
    <t>ОГБУЗ «Светленская районная больница №1»</t>
  </si>
  <si>
    <t>16733 койко-дней</t>
  </si>
  <si>
    <t>ОГБУЗ «Моряковская УБ»</t>
  </si>
  <si>
    <t>ОГБУЗ «Моряковская УБ »</t>
  </si>
  <si>
    <t>ОГБУЗ «Лоскутовская РП»</t>
  </si>
  <si>
    <t>146675 посещений</t>
  </si>
  <si>
    <t>34783 посещений</t>
  </si>
  <si>
    <t>помещение МБУ "МЦБТР". п.Зональная Станция, ул.Солнечная, 23</t>
  </si>
  <si>
    <t>ВТБ -24
ООО «Византия»
ООО «Здоровье»
ООО «Здоровье –Фарм»
ИП Кретова
ИП Поморцева
ИП Сергеева
САНИТАС
Сансеркис
Филиал ОАО МТС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</si>
</sst>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000_р_._-;\-* #,##0.00000_р_._-;_-* &quot;-&quot;??_р_._-;_-@_-"/>
    <numFmt numFmtId="166" formatCode="_-* #,##0.00000_р_._-;\-* #,##0.00000_р_._-;_-* &quot;-&quot;?????_р_._-;_-@_-"/>
    <numFmt numFmtId="167" formatCode="_-* #,##0.0000_р_._-;\-* #,##0.000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5" fillId="0" borderId="0" xfId="0" applyFont="1"/>
    <xf numFmtId="0" fontId="3" fillId="0" borderId="1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10" fillId="0" borderId="0" xfId="1" applyNumberFormat="1" applyFont="1" applyBorder="1" applyAlignment="1">
      <alignment vertical="center" wrapText="1"/>
    </xf>
    <xf numFmtId="166" fontId="10" fillId="0" borderId="0" xfId="0" applyNumberFormat="1" applyFont="1" applyAlignment="1"/>
    <xf numFmtId="0" fontId="2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5" fontId="10" fillId="0" borderId="0" xfId="0" applyNumberFormat="1" applyFont="1" applyAlignment="1"/>
    <xf numFmtId="0" fontId="13" fillId="0" borderId="1" xfId="0" applyFont="1" applyBorder="1" applyAlignment="1">
      <alignment horizontal="left" vertical="center" wrapText="1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/>
    <xf numFmtId="0" fontId="2" fillId="0" borderId="0" xfId="0" applyFont="1" applyBorder="1"/>
    <xf numFmtId="164" fontId="4" fillId="0" borderId="1" xfId="1" applyFont="1" applyBorder="1" applyAlignment="1">
      <alignment horizontal="center" vertical="center"/>
    </xf>
    <xf numFmtId="0" fontId="10" fillId="0" borderId="0" xfId="0" applyFont="1" applyAlignment="1"/>
    <xf numFmtId="165" fontId="10" fillId="0" borderId="0" xfId="1" applyNumberFormat="1" applyFont="1" applyBorder="1" applyAlignment="1">
      <alignment vertical="center" wrapText="1"/>
    </xf>
    <xf numFmtId="166" fontId="10" fillId="0" borderId="0" xfId="0" applyNumberFormat="1" applyFont="1" applyAlignment="1"/>
    <xf numFmtId="165" fontId="12" fillId="0" borderId="0" xfId="1" applyNumberFormat="1" applyFont="1" applyBorder="1" applyAlignment="1">
      <alignment vertical="center"/>
    </xf>
    <xf numFmtId="2" fontId="10" fillId="0" borderId="0" xfId="0" applyNumberFormat="1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 applyAlignment="1">
      <alignment vertical="top" wrapText="1"/>
    </xf>
    <xf numFmtId="165" fontId="3" fillId="0" borderId="0" xfId="0" applyNumberFormat="1" applyFont="1"/>
    <xf numFmtId="2" fontId="14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0" fontId="15" fillId="0" borderId="1" xfId="0" applyFont="1" applyFill="1" applyBorder="1" applyAlignment="1">
      <alignment vertical="top" wrapText="1"/>
    </xf>
    <xf numFmtId="0" fontId="17" fillId="0" borderId="0" xfId="0" applyFont="1"/>
    <xf numFmtId="0" fontId="15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15" fillId="0" borderId="1" xfId="1" applyNumberFormat="1" applyFont="1" applyBorder="1" applyAlignment="1">
      <alignment horizontal="center" vertical="center"/>
    </xf>
    <xf numFmtId="2" fontId="15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center"/>
    </xf>
    <xf numFmtId="2" fontId="15" fillId="0" borderId="1" xfId="1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2" fontId="20" fillId="0" borderId="1" xfId="1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1" fillId="0" borderId="0" xfId="0" applyFont="1"/>
    <xf numFmtId="0" fontId="22" fillId="0" borderId="0" xfId="0" applyFont="1" applyAlignment="1"/>
    <xf numFmtId="2" fontId="13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165" fontId="2" fillId="2" borderId="0" xfId="0" applyNumberFormat="1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top" wrapText="1"/>
    </xf>
    <xf numFmtId="0" fontId="2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7" fontId="2" fillId="0" borderId="1" xfId="1" applyNumberFormat="1" applyFont="1" applyBorder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2" fontId="13" fillId="0" borderId="1" xfId="1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2" fontId="23" fillId="0" borderId="1" xfId="1" applyNumberFormat="1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24" fillId="0" borderId="1" xfId="1" applyNumberFormat="1" applyFont="1" applyBorder="1" applyAlignment="1">
      <alignment horizontal="center" vertical="center"/>
    </xf>
    <xf numFmtId="2" fontId="24" fillId="0" borderId="1" xfId="1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25" fillId="0" borderId="1" xfId="1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3" fillId="0" borderId="0" xfId="0" applyFont="1" applyAlignment="1"/>
    <xf numFmtId="2" fontId="2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105;&#1090;&#1099;%20&#1091;&#1095;&#1088;&#1077;&#1078;&#1076;&#1077;&#1085;&#1080;&#1081;%20&#1079;&#1072;%202013/&#1091;&#1087;&#1088;&#1072;&#1074;&#1083;&#1077;&#1085;&#1080;&#1077;%20&#1086;&#1073;&#1088;&#1072;&#1079;&#1086;&#1074;&#1072;&#1085;&#1080;&#1103;/&#1057;&#1074;&#1086;&#1076;&#1085;&#1099;&#1081;%20&#1054;&#1090;&#1095;&#1077;&#1090;%20&#1059;&#1054;%202013&#1075;%20(1)%20&#1086;%20&#1088;&#1077;&#1079;&#1091;&#1083;&#1100;&#1090;&#1072;&#1093;%20&#1076;&#1077;&#1103;&#1090;&#1077;&#1083;&#1100;&#1085;&#1086;&#1089;&#1090;&#1080;%20&#1080;&#1079;%20&#1101;&#1082;&#1086;&#1085;&#1086;&#1084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  <sheetName val="Форма 5"/>
      <sheetName val="Форма 6"/>
    </sheetNames>
    <sheetDataSet>
      <sheetData sheetId="0"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O11">
            <v>32.073610000000002</v>
          </cell>
        </row>
        <row r="12">
          <cell r="O12">
            <v>0</v>
          </cell>
        </row>
        <row r="13">
          <cell r="O13">
            <v>4</v>
          </cell>
        </row>
        <row r="14">
          <cell r="O14">
            <v>120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5.82</v>
          </cell>
        </row>
        <row r="21">
          <cell r="O21">
            <v>26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7.5</v>
          </cell>
        </row>
        <row r="26">
          <cell r="O26">
            <v>100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68.98</v>
          </cell>
        </row>
        <row r="32">
          <cell r="O32">
            <v>14.3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45.5</v>
          </cell>
        </row>
        <row r="40">
          <cell r="O40">
            <v>0</v>
          </cell>
        </row>
        <row r="41">
          <cell r="O41">
            <v>1</v>
          </cell>
        </row>
        <row r="42">
          <cell r="O42">
            <v>0</v>
          </cell>
        </row>
        <row r="43">
          <cell r="O43">
            <v>0</v>
          </cell>
        </row>
        <row r="44">
          <cell r="K44">
            <v>0</v>
          </cell>
          <cell r="N44">
            <v>0</v>
          </cell>
          <cell r="O44">
            <v>0</v>
          </cell>
        </row>
        <row r="45">
          <cell r="O45">
            <v>238.43</v>
          </cell>
        </row>
        <row r="46">
          <cell r="K46">
            <v>0</v>
          </cell>
          <cell r="N46">
            <v>0</v>
          </cell>
          <cell r="O46">
            <v>0</v>
          </cell>
        </row>
        <row r="47">
          <cell r="O47">
            <v>38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2">
          <cell r="O52">
            <v>174</v>
          </cell>
        </row>
        <row r="53">
          <cell r="O53">
            <v>0</v>
          </cell>
        </row>
        <row r="54">
          <cell r="K54">
            <v>0</v>
          </cell>
          <cell r="N54">
            <v>0</v>
          </cell>
          <cell r="O54">
            <v>0</v>
          </cell>
        </row>
        <row r="55">
          <cell r="O55">
            <v>4.6976300000000002</v>
          </cell>
        </row>
        <row r="56">
          <cell r="O56">
            <v>0</v>
          </cell>
        </row>
        <row r="57">
          <cell r="O57">
            <v>0</v>
          </cell>
        </row>
        <row r="58">
          <cell r="K58">
            <v>0</v>
          </cell>
          <cell r="N58">
            <v>0</v>
          </cell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K62">
            <v>0</v>
          </cell>
          <cell r="N62">
            <v>0</v>
          </cell>
          <cell r="O62">
            <v>0</v>
          </cell>
        </row>
        <row r="63">
          <cell r="O63">
            <v>70.2</v>
          </cell>
        </row>
        <row r="64">
          <cell r="O64">
            <v>13</v>
          </cell>
        </row>
        <row r="65">
          <cell r="K65">
            <v>0</v>
          </cell>
          <cell r="N65">
            <v>0</v>
          </cell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K70">
            <v>0</v>
          </cell>
          <cell r="N70">
            <v>0</v>
          </cell>
          <cell r="O70">
            <v>0</v>
          </cell>
        </row>
        <row r="71">
          <cell r="O71">
            <v>0</v>
          </cell>
        </row>
        <row r="72">
          <cell r="K72">
            <v>0</v>
          </cell>
          <cell r="N72">
            <v>0</v>
          </cell>
          <cell r="O72">
            <v>0</v>
          </cell>
        </row>
        <row r="73">
          <cell r="K73">
            <v>0</v>
          </cell>
          <cell r="N73">
            <v>0</v>
          </cell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601"/>
  <sheetViews>
    <sheetView zoomScale="75" zoomScaleNormal="75" workbookViewId="0">
      <pane ySplit="7" topLeftCell="A8" activePane="bottomLeft" state="frozen"/>
      <selection pane="bottomLeft" activeCell="I12" sqref="I12"/>
    </sheetView>
  </sheetViews>
  <sheetFormatPr defaultRowHeight="12.75" x14ac:dyDescent="0.2"/>
  <cols>
    <col min="1" max="1" width="3.28515625" style="40" bestFit="1" customWidth="1"/>
    <col min="2" max="2" width="36.85546875" style="41" customWidth="1"/>
    <col min="3" max="3" width="8.85546875" style="41" hidden="1" customWidth="1"/>
    <col min="4" max="4" width="20.5703125" style="38" bestFit="1" customWidth="1"/>
    <col min="5" max="5" width="16.28515625" style="38" bestFit="1" customWidth="1"/>
    <col min="6" max="6" width="17.42578125" style="38" customWidth="1"/>
    <col min="7" max="7" width="17.140625" style="38" customWidth="1"/>
    <col min="8" max="9" width="16.28515625" style="80" bestFit="1" customWidth="1"/>
    <col min="10" max="11" width="15.140625" style="80" bestFit="1" customWidth="1"/>
    <col min="12" max="12" width="12.140625" style="80" bestFit="1" customWidth="1"/>
    <col min="13" max="13" width="21.7109375" style="80" customWidth="1"/>
    <col min="14" max="14" width="16.42578125" style="80" customWidth="1"/>
    <col min="15" max="15" width="16.42578125" style="38" customWidth="1"/>
    <col min="16" max="16" width="13.28515625" style="38" customWidth="1"/>
    <col min="17" max="17" width="17.42578125" style="38" bestFit="1" customWidth="1"/>
    <col min="18" max="18" width="17.42578125" style="42" bestFit="1" customWidth="1"/>
    <col min="19" max="19" width="18.5703125" style="38" customWidth="1"/>
    <col min="20" max="20" width="12" style="38" bestFit="1" customWidth="1"/>
    <col min="21" max="16384" width="9.140625" style="38"/>
  </cols>
  <sheetData>
    <row r="1" spans="1:20" x14ac:dyDescent="0.2">
      <c r="Q1" s="122" t="s">
        <v>143</v>
      </c>
      <c r="R1" s="122"/>
      <c r="S1" s="122"/>
    </row>
    <row r="2" spans="1:20" ht="18.75" customHeight="1" x14ac:dyDescent="0.2">
      <c r="F2" s="124" t="s">
        <v>167</v>
      </c>
      <c r="G2" s="124"/>
      <c r="H2" s="124"/>
      <c r="I2" s="124"/>
      <c r="J2" s="124"/>
      <c r="K2" s="124"/>
      <c r="L2" s="124"/>
      <c r="M2" s="124"/>
    </row>
    <row r="4" spans="1:20" ht="13.5" customHeight="1" x14ac:dyDescent="0.2">
      <c r="A4" s="121" t="s">
        <v>1</v>
      </c>
      <c r="B4" s="121" t="s">
        <v>7</v>
      </c>
      <c r="C4" s="55"/>
      <c r="D4" s="121" t="s">
        <v>2</v>
      </c>
      <c r="E4" s="121"/>
      <c r="F4" s="121"/>
      <c r="G4" s="121"/>
      <c r="H4" s="121"/>
      <c r="I4" s="121"/>
      <c r="J4" s="121" t="s">
        <v>3</v>
      </c>
      <c r="K4" s="121"/>
      <c r="L4" s="121"/>
      <c r="M4" s="121"/>
      <c r="N4" s="121"/>
      <c r="O4" s="121" t="s">
        <v>10</v>
      </c>
      <c r="P4" s="121"/>
      <c r="Q4" s="121" t="s">
        <v>4</v>
      </c>
      <c r="R4" s="121"/>
      <c r="S4" s="121" t="s">
        <v>6</v>
      </c>
    </row>
    <row r="5" spans="1:20" s="43" customFormat="1" ht="15" customHeight="1" x14ac:dyDescent="0.25">
      <c r="A5" s="121"/>
      <c r="B5" s="121"/>
      <c r="C5" s="55"/>
      <c r="D5" s="121" t="s">
        <v>11</v>
      </c>
      <c r="E5" s="121"/>
      <c r="F5" s="121" t="s">
        <v>135</v>
      </c>
      <c r="G5" s="121"/>
      <c r="H5" s="123" t="s">
        <v>8</v>
      </c>
      <c r="I5" s="123"/>
      <c r="J5" s="123" t="s">
        <v>9</v>
      </c>
      <c r="K5" s="123"/>
      <c r="L5" s="123" t="s">
        <v>5</v>
      </c>
      <c r="M5" s="123"/>
      <c r="N5" s="123"/>
      <c r="O5" s="121"/>
      <c r="P5" s="121"/>
      <c r="Q5" s="121"/>
      <c r="R5" s="121"/>
      <c r="S5" s="121"/>
    </row>
    <row r="6" spans="1:20" s="44" customFormat="1" ht="61.5" customHeight="1" x14ac:dyDescent="0.2">
      <c r="A6" s="121"/>
      <c r="B6" s="121"/>
      <c r="C6" s="55"/>
      <c r="D6" s="121"/>
      <c r="E6" s="121"/>
      <c r="F6" s="121"/>
      <c r="G6" s="121"/>
      <c r="H6" s="123"/>
      <c r="I6" s="123"/>
      <c r="J6" s="123"/>
      <c r="K6" s="123"/>
      <c r="L6" s="123" t="s">
        <v>13</v>
      </c>
      <c r="M6" s="123"/>
      <c r="N6" s="123" t="s">
        <v>12</v>
      </c>
      <c r="O6" s="121"/>
      <c r="P6" s="121"/>
      <c r="Q6" s="121"/>
      <c r="R6" s="121"/>
      <c r="S6" s="121"/>
    </row>
    <row r="7" spans="1:20" ht="33" customHeight="1" x14ac:dyDescent="0.2">
      <c r="A7" s="121"/>
      <c r="B7" s="121"/>
      <c r="C7" s="55"/>
      <c r="D7" s="55" t="s">
        <v>13</v>
      </c>
      <c r="E7" s="55" t="s">
        <v>12</v>
      </c>
      <c r="F7" s="55" t="s">
        <v>13</v>
      </c>
      <c r="G7" s="55" t="s">
        <v>12</v>
      </c>
      <c r="H7" s="88" t="s">
        <v>13</v>
      </c>
      <c r="I7" s="88" t="s">
        <v>12</v>
      </c>
      <c r="J7" s="88" t="s">
        <v>13</v>
      </c>
      <c r="K7" s="88" t="s">
        <v>12</v>
      </c>
      <c r="L7" s="89" t="s">
        <v>0</v>
      </c>
      <c r="M7" s="88" t="s">
        <v>14</v>
      </c>
      <c r="N7" s="123"/>
      <c r="O7" s="55" t="s">
        <v>137</v>
      </c>
      <c r="P7" s="55" t="s">
        <v>12</v>
      </c>
      <c r="Q7" s="55" t="s">
        <v>13</v>
      </c>
      <c r="R7" s="55" t="s">
        <v>12</v>
      </c>
      <c r="S7" s="121"/>
    </row>
    <row r="8" spans="1:20" s="84" customFormat="1" ht="30" x14ac:dyDescent="0.25">
      <c r="A8" s="83">
        <v>1</v>
      </c>
      <c r="B8" s="85" t="s">
        <v>15</v>
      </c>
      <c r="C8" s="86">
        <f>E8/D8*100</f>
        <v>100</v>
      </c>
      <c r="D8" s="106">
        <v>4165.7</v>
      </c>
      <c r="E8" s="106">
        <f>D8</f>
        <v>4165.7</v>
      </c>
      <c r="F8" s="106">
        <v>0</v>
      </c>
      <c r="G8" s="106">
        <v>0</v>
      </c>
      <c r="H8" s="106">
        <v>25157.867310000001</v>
      </c>
      <c r="I8" s="106">
        <f>H8</f>
        <v>25157.867310000001</v>
      </c>
      <c r="J8" s="106">
        <v>661.87566000000004</v>
      </c>
      <c r="K8" s="106">
        <f>J8</f>
        <v>661.87566000000004</v>
      </c>
      <c r="L8" s="106">
        <v>0</v>
      </c>
      <c r="M8" s="106">
        <v>0</v>
      </c>
      <c r="N8" s="106">
        <f>M8</f>
        <v>0</v>
      </c>
      <c r="O8" s="106">
        <v>0</v>
      </c>
      <c r="P8" s="106">
        <f>O8</f>
        <v>0</v>
      </c>
      <c r="Q8" s="106">
        <f>D8+F8+H8+J8+L8+O8</f>
        <v>29985.442970000004</v>
      </c>
      <c r="R8" s="106">
        <f>E8+G8+I8+K8+N8+P8</f>
        <v>29985.442970000004</v>
      </c>
      <c r="S8" s="106">
        <f>(J8+L8+O8)/Q8</f>
        <v>2.2073232690349012E-2</v>
      </c>
      <c r="T8" s="87"/>
    </row>
    <row r="9" spans="1:20" s="84" customFormat="1" ht="30" x14ac:dyDescent="0.25">
      <c r="A9" s="83">
        <v>2</v>
      </c>
      <c r="B9" s="85" t="s">
        <v>16</v>
      </c>
      <c r="C9" s="86">
        <f t="shared" ref="C9:C72" si="0">E9/D9*100</f>
        <v>100</v>
      </c>
      <c r="D9" s="106">
        <v>3967.1</v>
      </c>
      <c r="E9" s="106">
        <f t="shared" ref="E9:E72" si="1">D9</f>
        <v>3967.1</v>
      </c>
      <c r="F9" s="106">
        <v>0</v>
      </c>
      <c r="G9" s="106">
        <v>0</v>
      </c>
      <c r="H9" s="106">
        <f>10513.15058+517.67482</f>
        <v>11030.8254</v>
      </c>
      <c r="I9" s="106">
        <f t="shared" ref="I9:I72" si="2">H9</f>
        <v>11030.8254</v>
      </c>
      <c r="J9" s="106">
        <v>411.25670000000002</v>
      </c>
      <c r="K9" s="106">
        <f t="shared" ref="K9:K72" si="3">J9</f>
        <v>411.25670000000002</v>
      </c>
      <c r="L9" s="106">
        <v>0</v>
      </c>
      <c r="M9" s="106">
        <v>0</v>
      </c>
      <c r="N9" s="106">
        <f t="shared" ref="N9:N72" si="4">M9</f>
        <v>0</v>
      </c>
      <c r="O9" s="106">
        <v>0</v>
      </c>
      <c r="P9" s="106">
        <f t="shared" ref="P9:P72" si="5">O9</f>
        <v>0</v>
      </c>
      <c r="Q9" s="106">
        <f t="shared" ref="Q9:Q72" si="6">D9+F9+H9+J9+L9+O9</f>
        <v>15409.1821</v>
      </c>
      <c r="R9" s="106">
        <f t="shared" ref="R9:R72" si="7">E9+G9+I9+K9+N9+P9</f>
        <v>15409.1821</v>
      </c>
      <c r="S9" s="106">
        <f t="shared" ref="S9:S73" si="8">(J9+L9+O9)/Q9</f>
        <v>2.6689067422988013E-2</v>
      </c>
      <c r="T9" s="87"/>
    </row>
    <row r="10" spans="1:20" s="84" customFormat="1" ht="30" x14ac:dyDescent="0.25">
      <c r="A10" s="83">
        <v>3</v>
      </c>
      <c r="B10" s="85" t="s">
        <v>17</v>
      </c>
      <c r="C10" s="86">
        <f t="shared" si="0"/>
        <v>100</v>
      </c>
      <c r="D10" s="106">
        <v>4128.8</v>
      </c>
      <c r="E10" s="106">
        <f t="shared" si="1"/>
        <v>4128.8</v>
      </c>
      <c r="F10" s="106">
        <v>0</v>
      </c>
      <c r="G10" s="106">
        <v>0</v>
      </c>
      <c r="H10" s="106">
        <f>26869.02099+676.72726</f>
        <v>27545.748250000001</v>
      </c>
      <c r="I10" s="106">
        <f t="shared" si="2"/>
        <v>27545.748250000001</v>
      </c>
      <c r="J10" s="106">
        <v>617.32793000000004</v>
      </c>
      <c r="K10" s="106">
        <f t="shared" si="3"/>
        <v>617.32793000000004</v>
      </c>
      <c r="L10" s="106">
        <v>0</v>
      </c>
      <c r="M10" s="106">
        <v>0</v>
      </c>
      <c r="N10" s="106">
        <f t="shared" si="4"/>
        <v>0</v>
      </c>
      <c r="O10" s="106">
        <v>0</v>
      </c>
      <c r="P10" s="106">
        <f t="shared" si="5"/>
        <v>0</v>
      </c>
      <c r="Q10" s="106">
        <f t="shared" si="6"/>
        <v>32291.876179999999</v>
      </c>
      <c r="R10" s="106">
        <f t="shared" si="7"/>
        <v>32291.876179999999</v>
      </c>
      <c r="S10" s="106">
        <f t="shared" si="8"/>
        <v>1.9117127990919976E-2</v>
      </c>
      <c r="T10" s="87"/>
    </row>
    <row r="11" spans="1:20" s="84" customFormat="1" ht="30" x14ac:dyDescent="0.25">
      <c r="A11" s="83">
        <v>4</v>
      </c>
      <c r="B11" s="85" t="s">
        <v>18</v>
      </c>
      <c r="C11" s="86">
        <f t="shared" si="0"/>
        <v>100</v>
      </c>
      <c r="D11" s="106">
        <v>6091.3</v>
      </c>
      <c r="E11" s="106">
        <f t="shared" si="1"/>
        <v>6091.3</v>
      </c>
      <c r="F11" s="106">
        <v>0</v>
      </c>
      <c r="G11" s="106">
        <v>0</v>
      </c>
      <c r="H11" s="106">
        <v>8269</v>
      </c>
      <c r="I11" s="106">
        <f t="shared" si="2"/>
        <v>8269</v>
      </c>
      <c r="J11" s="106">
        <f>1458.0138-O11</f>
        <v>1425.94019</v>
      </c>
      <c r="K11" s="106">
        <f t="shared" si="3"/>
        <v>1425.94019</v>
      </c>
      <c r="L11" s="106">
        <v>0</v>
      </c>
      <c r="M11" s="106">
        <v>0</v>
      </c>
      <c r="N11" s="106">
        <f t="shared" si="4"/>
        <v>0</v>
      </c>
      <c r="O11" s="106">
        <v>32.073610000000002</v>
      </c>
      <c r="P11" s="106">
        <f t="shared" si="5"/>
        <v>32.073610000000002</v>
      </c>
      <c r="Q11" s="106">
        <f>D11+F11+H11+J11+L11+O11</f>
        <v>15818.313799999998</v>
      </c>
      <c r="R11" s="106">
        <f t="shared" si="7"/>
        <v>15818.313799999998</v>
      </c>
      <c r="S11" s="106">
        <f>(J11+L11+O11)/Q11</f>
        <v>9.217251714907819E-2</v>
      </c>
      <c r="T11" s="87"/>
    </row>
    <row r="12" spans="1:20" s="84" customFormat="1" ht="30" x14ac:dyDescent="0.25">
      <c r="A12" s="83">
        <v>5</v>
      </c>
      <c r="B12" s="85" t="s">
        <v>19</v>
      </c>
      <c r="C12" s="86">
        <f t="shared" si="0"/>
        <v>100</v>
      </c>
      <c r="D12" s="106">
        <v>6493.7</v>
      </c>
      <c r="E12" s="106">
        <f t="shared" si="1"/>
        <v>6493.7</v>
      </c>
      <c r="F12" s="106">
        <v>0</v>
      </c>
      <c r="G12" s="106">
        <v>0</v>
      </c>
      <c r="H12" s="106">
        <v>61412.257980000002</v>
      </c>
      <c r="I12" s="106">
        <f t="shared" si="2"/>
        <v>61412.257980000002</v>
      </c>
      <c r="J12" s="106">
        <v>960.33450000000005</v>
      </c>
      <c r="K12" s="106">
        <f t="shared" si="3"/>
        <v>960.33450000000005</v>
      </c>
      <c r="L12" s="106">
        <v>0</v>
      </c>
      <c r="M12" s="106">
        <v>0</v>
      </c>
      <c r="N12" s="106">
        <f t="shared" si="4"/>
        <v>0</v>
      </c>
      <c r="O12" s="106">
        <v>0</v>
      </c>
      <c r="P12" s="106">
        <f t="shared" si="5"/>
        <v>0</v>
      </c>
      <c r="Q12" s="106">
        <f t="shared" si="6"/>
        <v>68866.292480000004</v>
      </c>
      <c r="R12" s="106">
        <f t="shared" si="7"/>
        <v>68866.292480000004</v>
      </c>
      <c r="S12" s="106">
        <f t="shared" si="8"/>
        <v>1.3944913620533562E-2</v>
      </c>
    </row>
    <row r="13" spans="1:20" s="84" customFormat="1" ht="45" x14ac:dyDescent="0.25">
      <c r="A13" s="83">
        <v>6</v>
      </c>
      <c r="B13" s="85" t="s">
        <v>20</v>
      </c>
      <c r="C13" s="86">
        <f t="shared" si="0"/>
        <v>100</v>
      </c>
      <c r="D13" s="106">
        <v>7424.2</v>
      </c>
      <c r="E13" s="106">
        <f t="shared" si="1"/>
        <v>7424.2</v>
      </c>
      <c r="F13" s="106">
        <v>0</v>
      </c>
      <c r="G13" s="106">
        <v>0</v>
      </c>
      <c r="H13" s="106">
        <v>24010.202229999999</v>
      </c>
      <c r="I13" s="106">
        <f t="shared" si="2"/>
        <v>24010.202229999999</v>
      </c>
      <c r="J13" s="106">
        <f>1045.63628-O13</f>
        <v>1041.6362799999999</v>
      </c>
      <c r="K13" s="106">
        <f t="shared" si="3"/>
        <v>1041.6362799999999</v>
      </c>
      <c r="L13" s="106">
        <v>0</v>
      </c>
      <c r="M13" s="106">
        <v>0</v>
      </c>
      <c r="N13" s="106">
        <f t="shared" si="4"/>
        <v>0</v>
      </c>
      <c r="O13" s="106">
        <v>4</v>
      </c>
      <c r="P13" s="106">
        <f t="shared" si="5"/>
        <v>4</v>
      </c>
      <c r="Q13" s="106">
        <f t="shared" si="6"/>
        <v>32480.038509999998</v>
      </c>
      <c r="R13" s="106">
        <f t="shared" si="7"/>
        <v>32480.038509999998</v>
      </c>
      <c r="S13" s="106">
        <f t="shared" si="8"/>
        <v>3.219319705172357E-2</v>
      </c>
    </row>
    <row r="14" spans="1:20" s="84" customFormat="1" ht="30" x14ac:dyDescent="0.25">
      <c r="A14" s="83">
        <v>7</v>
      </c>
      <c r="B14" s="85" t="s">
        <v>21</v>
      </c>
      <c r="C14" s="86">
        <f t="shared" si="0"/>
        <v>100</v>
      </c>
      <c r="D14" s="106">
        <v>20448.8</v>
      </c>
      <c r="E14" s="106">
        <f t="shared" si="1"/>
        <v>20448.8</v>
      </c>
      <c r="F14" s="106">
        <v>0</v>
      </c>
      <c r="G14" s="106">
        <v>0</v>
      </c>
      <c r="H14" s="106">
        <v>61115.805999999997</v>
      </c>
      <c r="I14" s="106">
        <f t="shared" si="2"/>
        <v>61115.805999999997</v>
      </c>
      <c r="J14" s="106">
        <f>175.24172-O14</f>
        <v>55.241719999999987</v>
      </c>
      <c r="K14" s="106">
        <f t="shared" si="3"/>
        <v>55.241719999999987</v>
      </c>
      <c r="L14" s="106">
        <v>0</v>
      </c>
      <c r="M14" s="106">
        <v>0</v>
      </c>
      <c r="N14" s="106">
        <f t="shared" si="4"/>
        <v>0</v>
      </c>
      <c r="O14" s="106">
        <v>120</v>
      </c>
      <c r="P14" s="106">
        <f t="shared" si="5"/>
        <v>120</v>
      </c>
      <c r="Q14" s="106">
        <f t="shared" si="6"/>
        <v>81739.847720000005</v>
      </c>
      <c r="R14" s="106">
        <f t="shared" si="7"/>
        <v>81739.847720000005</v>
      </c>
      <c r="S14" s="106">
        <f t="shared" si="8"/>
        <v>2.1438958462498096E-3</v>
      </c>
    </row>
    <row r="15" spans="1:20" s="84" customFormat="1" ht="30" x14ac:dyDescent="0.25">
      <c r="A15" s="83">
        <v>8</v>
      </c>
      <c r="B15" s="85" t="s">
        <v>22</v>
      </c>
      <c r="C15" s="86">
        <f t="shared" si="0"/>
        <v>100</v>
      </c>
      <c r="D15" s="106">
        <v>16776.8</v>
      </c>
      <c r="E15" s="106">
        <f t="shared" si="1"/>
        <v>16776.8</v>
      </c>
      <c r="F15" s="106">
        <v>0</v>
      </c>
      <c r="G15" s="106">
        <v>0</v>
      </c>
      <c r="H15" s="106">
        <v>7121.3493900000003</v>
      </c>
      <c r="I15" s="106">
        <f t="shared" si="2"/>
        <v>7121.3493900000003</v>
      </c>
      <c r="J15" s="106">
        <v>484.83249999999998</v>
      </c>
      <c r="K15" s="106">
        <f t="shared" si="3"/>
        <v>484.83249999999998</v>
      </c>
      <c r="L15" s="106">
        <v>0</v>
      </c>
      <c r="M15" s="106">
        <v>0</v>
      </c>
      <c r="N15" s="106">
        <f t="shared" si="4"/>
        <v>0</v>
      </c>
      <c r="O15" s="106">
        <v>0</v>
      </c>
      <c r="P15" s="106">
        <f t="shared" si="5"/>
        <v>0</v>
      </c>
      <c r="Q15" s="106">
        <f t="shared" si="6"/>
        <v>24382.981889999999</v>
      </c>
      <c r="R15" s="106">
        <f t="shared" si="7"/>
        <v>24382.981889999999</v>
      </c>
      <c r="S15" s="106">
        <f>(J15+L15+O15)/Q15</f>
        <v>1.988405282779792E-2</v>
      </c>
    </row>
    <row r="16" spans="1:20" s="84" customFormat="1" ht="30" x14ac:dyDescent="0.25">
      <c r="A16" s="83">
        <v>9</v>
      </c>
      <c r="B16" s="85" t="s">
        <v>23</v>
      </c>
      <c r="C16" s="86">
        <f t="shared" si="0"/>
        <v>100</v>
      </c>
      <c r="D16" s="106">
        <v>15293.7</v>
      </c>
      <c r="E16" s="106">
        <f t="shared" si="1"/>
        <v>15293.7</v>
      </c>
      <c r="F16" s="106">
        <v>0</v>
      </c>
      <c r="G16" s="106">
        <v>0</v>
      </c>
      <c r="H16" s="106">
        <v>9485.6495400000003</v>
      </c>
      <c r="I16" s="106">
        <f t="shared" si="2"/>
        <v>9485.6495400000003</v>
      </c>
      <c r="J16" s="106">
        <v>0</v>
      </c>
      <c r="K16" s="106">
        <f t="shared" si="3"/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f t="shared" si="5"/>
        <v>0</v>
      </c>
      <c r="Q16" s="106">
        <f t="shared" si="6"/>
        <v>24779.349540000003</v>
      </c>
      <c r="R16" s="106">
        <f t="shared" si="7"/>
        <v>24779.349540000003</v>
      </c>
      <c r="S16" s="106">
        <f>(J16+L16+O16)/Q16</f>
        <v>0</v>
      </c>
    </row>
    <row r="17" spans="1:19" s="84" customFormat="1" ht="30" x14ac:dyDescent="0.25">
      <c r="A17" s="83">
        <v>10</v>
      </c>
      <c r="B17" s="85" t="s">
        <v>24</v>
      </c>
      <c r="C17" s="86">
        <f t="shared" si="0"/>
        <v>100</v>
      </c>
      <c r="D17" s="106">
        <v>14620.4</v>
      </c>
      <c r="E17" s="106">
        <f t="shared" si="1"/>
        <v>14620.4</v>
      </c>
      <c r="F17" s="106">
        <v>0</v>
      </c>
      <c r="G17" s="106">
        <v>0</v>
      </c>
      <c r="H17" s="106">
        <v>7803.9598800000003</v>
      </c>
      <c r="I17" s="106">
        <f t="shared" si="2"/>
        <v>7803.9598800000003</v>
      </c>
      <c r="J17" s="106">
        <f>37+59.8</f>
        <v>96.8</v>
      </c>
      <c r="K17" s="106">
        <f t="shared" si="3"/>
        <v>96.8</v>
      </c>
      <c r="L17" s="106">
        <v>0</v>
      </c>
      <c r="M17" s="106">
        <v>0</v>
      </c>
      <c r="N17" s="106">
        <f t="shared" si="4"/>
        <v>0</v>
      </c>
      <c r="O17" s="106">
        <v>0</v>
      </c>
      <c r="P17" s="106">
        <f t="shared" si="5"/>
        <v>0</v>
      </c>
      <c r="Q17" s="106">
        <f t="shared" si="6"/>
        <v>22521.159879999999</v>
      </c>
      <c r="R17" s="106">
        <f t="shared" si="7"/>
        <v>22521.159879999999</v>
      </c>
      <c r="S17" s="106">
        <f t="shared" si="8"/>
        <v>4.2981800456007423E-3</v>
      </c>
    </row>
    <row r="18" spans="1:19" s="84" customFormat="1" ht="30" x14ac:dyDescent="0.25">
      <c r="A18" s="83">
        <v>11</v>
      </c>
      <c r="B18" s="85" t="s">
        <v>25</v>
      </c>
      <c r="C18" s="86">
        <f t="shared" si="0"/>
        <v>100</v>
      </c>
      <c r="D18" s="106">
        <v>16918.324499999999</v>
      </c>
      <c r="E18" s="106">
        <f t="shared" si="1"/>
        <v>16918.324499999999</v>
      </c>
      <c r="F18" s="106">
        <v>0</v>
      </c>
      <c r="G18" s="106">
        <v>0</v>
      </c>
      <c r="H18" s="106">
        <v>29654.275730000001</v>
      </c>
      <c r="I18" s="106">
        <f t="shared" si="2"/>
        <v>29654.275730000001</v>
      </c>
      <c r="J18" s="106">
        <v>0</v>
      </c>
      <c r="K18" s="106">
        <f t="shared" si="3"/>
        <v>0</v>
      </c>
      <c r="L18" s="106">
        <v>0</v>
      </c>
      <c r="M18" s="106">
        <v>0</v>
      </c>
      <c r="N18" s="106">
        <f t="shared" si="4"/>
        <v>0</v>
      </c>
      <c r="O18" s="106">
        <v>0</v>
      </c>
      <c r="P18" s="106">
        <v>0</v>
      </c>
      <c r="Q18" s="106">
        <f t="shared" si="6"/>
        <v>46572.600229999996</v>
      </c>
      <c r="R18" s="106">
        <f t="shared" si="7"/>
        <v>46572.600229999996</v>
      </c>
      <c r="S18" s="106">
        <f>(J18+L18+O18)/Q18</f>
        <v>0</v>
      </c>
    </row>
    <row r="19" spans="1:19" s="84" customFormat="1" ht="30" x14ac:dyDescent="0.25">
      <c r="A19" s="83">
        <v>12</v>
      </c>
      <c r="B19" s="85" t="s">
        <v>26</v>
      </c>
      <c r="C19" s="86">
        <f t="shared" si="0"/>
        <v>100</v>
      </c>
      <c r="D19" s="106">
        <v>27336.5</v>
      </c>
      <c r="E19" s="106">
        <f t="shared" si="1"/>
        <v>27336.5</v>
      </c>
      <c r="F19" s="106">
        <v>0</v>
      </c>
      <c r="G19" s="106">
        <v>0</v>
      </c>
      <c r="H19" s="106">
        <v>4721.9715299999998</v>
      </c>
      <c r="I19" s="106">
        <f t="shared" si="2"/>
        <v>4721.9715299999998</v>
      </c>
      <c r="J19" s="106">
        <v>364.27100000000002</v>
      </c>
      <c r="K19" s="106">
        <f t="shared" si="3"/>
        <v>364.27100000000002</v>
      </c>
      <c r="L19" s="106">
        <v>0</v>
      </c>
      <c r="M19" s="106">
        <v>0</v>
      </c>
      <c r="N19" s="106">
        <f t="shared" si="4"/>
        <v>0</v>
      </c>
      <c r="O19" s="106">
        <v>0</v>
      </c>
      <c r="P19" s="106">
        <f t="shared" si="5"/>
        <v>0</v>
      </c>
      <c r="Q19" s="106">
        <f t="shared" si="6"/>
        <v>32422.74253</v>
      </c>
      <c r="R19" s="106">
        <f t="shared" si="7"/>
        <v>32422.74253</v>
      </c>
      <c r="S19" s="106">
        <f>(J19+L16+O19)/Q19</f>
        <v>1.1235045883701807E-2</v>
      </c>
    </row>
    <row r="20" spans="1:19" s="84" customFormat="1" ht="30" x14ac:dyDescent="0.25">
      <c r="A20" s="83">
        <v>13</v>
      </c>
      <c r="B20" s="85" t="s">
        <v>27</v>
      </c>
      <c r="C20" s="86">
        <f>E20/D20*100</f>
        <v>100</v>
      </c>
      <c r="D20" s="106">
        <v>26252.334269999999</v>
      </c>
      <c r="E20" s="106">
        <f t="shared" si="1"/>
        <v>26252.334269999999</v>
      </c>
      <c r="F20" s="106">
        <v>82000</v>
      </c>
      <c r="G20" s="106">
        <v>82000</v>
      </c>
      <c r="H20" s="106">
        <v>4822.86859</v>
      </c>
      <c r="I20" s="106">
        <f t="shared" si="2"/>
        <v>4822.86859</v>
      </c>
      <c r="J20" s="106">
        <f>461.3645-O20</f>
        <v>455.54450000000003</v>
      </c>
      <c r="K20" s="106">
        <f t="shared" si="3"/>
        <v>455.54450000000003</v>
      </c>
      <c r="L20" s="106">
        <v>0</v>
      </c>
      <c r="M20" s="106">
        <v>0</v>
      </c>
      <c r="N20" s="106">
        <f t="shared" si="4"/>
        <v>0</v>
      </c>
      <c r="O20" s="106">
        <f>1.32+4.5</f>
        <v>5.82</v>
      </c>
      <c r="P20" s="106">
        <f t="shared" si="5"/>
        <v>5.82</v>
      </c>
      <c r="Q20" s="106">
        <f t="shared" si="6"/>
        <v>113536.56736</v>
      </c>
      <c r="R20" s="106">
        <f t="shared" si="7"/>
        <v>113536.56736</v>
      </c>
      <c r="S20" s="106">
        <f t="shared" si="8"/>
        <v>4.0635762620611256E-3</v>
      </c>
    </row>
    <row r="21" spans="1:19" s="84" customFormat="1" ht="30" x14ac:dyDescent="0.25">
      <c r="A21" s="83">
        <v>14</v>
      </c>
      <c r="B21" s="85" t="s">
        <v>28</v>
      </c>
      <c r="C21" s="86">
        <f t="shared" si="0"/>
        <v>100</v>
      </c>
      <c r="D21" s="106">
        <v>6612.6</v>
      </c>
      <c r="E21" s="106">
        <f t="shared" si="1"/>
        <v>6612.6</v>
      </c>
      <c r="F21" s="106">
        <v>0</v>
      </c>
      <c r="G21" s="106">
        <v>0</v>
      </c>
      <c r="H21" s="106">
        <v>4113.70561</v>
      </c>
      <c r="I21" s="106">
        <f t="shared" si="2"/>
        <v>4113.70561</v>
      </c>
      <c r="J21" s="106">
        <f>1585.67556-O21</f>
        <v>1559.6755599999999</v>
      </c>
      <c r="K21" s="106">
        <f t="shared" si="3"/>
        <v>1559.6755599999999</v>
      </c>
      <c r="L21" s="106">
        <v>0</v>
      </c>
      <c r="M21" s="106">
        <v>0</v>
      </c>
      <c r="N21" s="106">
        <f t="shared" si="4"/>
        <v>0</v>
      </c>
      <c r="O21" s="106">
        <v>26</v>
      </c>
      <c r="P21" s="106">
        <f t="shared" si="5"/>
        <v>26</v>
      </c>
      <c r="Q21" s="106">
        <f t="shared" si="6"/>
        <v>12311.981169999999</v>
      </c>
      <c r="R21" s="106">
        <f t="shared" si="7"/>
        <v>12311.981169999999</v>
      </c>
      <c r="S21" s="106">
        <f t="shared" si="8"/>
        <v>0.12879125935180422</v>
      </c>
    </row>
    <row r="22" spans="1:19" s="84" customFormat="1" ht="45" x14ac:dyDescent="0.25">
      <c r="A22" s="83">
        <v>15</v>
      </c>
      <c r="B22" s="85" t="s">
        <v>29</v>
      </c>
      <c r="C22" s="86">
        <f t="shared" si="0"/>
        <v>100</v>
      </c>
      <c r="D22" s="106">
        <v>5196.6000000000004</v>
      </c>
      <c r="E22" s="106">
        <f t="shared" si="1"/>
        <v>5196.6000000000004</v>
      </c>
      <c r="F22" s="106">
        <v>0</v>
      </c>
      <c r="G22" s="106">
        <v>0</v>
      </c>
      <c r="H22" s="106">
        <v>1805.0698</v>
      </c>
      <c r="I22" s="106">
        <f t="shared" si="2"/>
        <v>1805.0698</v>
      </c>
      <c r="J22" s="106">
        <v>914.68901000000005</v>
      </c>
      <c r="K22" s="106">
        <f t="shared" si="3"/>
        <v>914.68901000000005</v>
      </c>
      <c r="L22" s="106">
        <v>0</v>
      </c>
      <c r="M22" s="106">
        <v>0</v>
      </c>
      <c r="N22" s="106">
        <f t="shared" si="4"/>
        <v>0</v>
      </c>
      <c r="O22" s="106">
        <v>0</v>
      </c>
      <c r="P22" s="106">
        <f t="shared" si="5"/>
        <v>0</v>
      </c>
      <c r="Q22" s="106">
        <f t="shared" si="6"/>
        <v>7916.3588100000006</v>
      </c>
      <c r="R22" s="106">
        <f t="shared" si="7"/>
        <v>7916.3588100000006</v>
      </c>
      <c r="S22" s="106">
        <f>(J22+L22+O22)/Q22</f>
        <v>0.11554415760495322</v>
      </c>
    </row>
    <row r="23" spans="1:19" s="84" customFormat="1" ht="30" x14ac:dyDescent="0.25">
      <c r="A23" s="83">
        <v>16</v>
      </c>
      <c r="B23" s="85" t="s">
        <v>30</v>
      </c>
      <c r="C23" s="86">
        <f t="shared" si="0"/>
        <v>100</v>
      </c>
      <c r="D23" s="106">
        <v>5445.1</v>
      </c>
      <c r="E23" s="106">
        <f t="shared" si="1"/>
        <v>5445.1</v>
      </c>
      <c r="F23" s="106">
        <v>0</v>
      </c>
      <c r="G23" s="106">
        <v>0</v>
      </c>
      <c r="H23" s="106">
        <v>2154.62637</v>
      </c>
      <c r="I23" s="106">
        <f t="shared" si="2"/>
        <v>2154.62637</v>
      </c>
      <c r="J23" s="106">
        <v>1017.17763</v>
      </c>
      <c r="K23" s="106">
        <f t="shared" si="3"/>
        <v>1017.17763</v>
      </c>
      <c r="L23" s="106">
        <v>0</v>
      </c>
      <c r="M23" s="106">
        <v>0</v>
      </c>
      <c r="N23" s="106">
        <f t="shared" si="4"/>
        <v>0</v>
      </c>
      <c r="O23" s="106">
        <v>0</v>
      </c>
      <c r="P23" s="106">
        <f t="shared" si="5"/>
        <v>0</v>
      </c>
      <c r="Q23" s="106">
        <f t="shared" si="6"/>
        <v>8616.9040000000005</v>
      </c>
      <c r="R23" s="106">
        <f t="shared" si="7"/>
        <v>8616.9040000000005</v>
      </c>
      <c r="S23" s="106">
        <f t="shared" si="8"/>
        <v>0.11804444264436507</v>
      </c>
    </row>
    <row r="24" spans="1:19" s="84" customFormat="1" ht="30" x14ac:dyDescent="0.25">
      <c r="A24" s="83">
        <v>17</v>
      </c>
      <c r="B24" s="85" t="s">
        <v>31</v>
      </c>
      <c r="C24" s="86">
        <f t="shared" si="0"/>
        <v>100</v>
      </c>
      <c r="D24" s="106">
        <v>3561.5</v>
      </c>
      <c r="E24" s="106">
        <f t="shared" si="1"/>
        <v>3561.5</v>
      </c>
      <c r="F24" s="106">
        <v>0</v>
      </c>
      <c r="G24" s="106">
        <v>0</v>
      </c>
      <c r="H24" s="106">
        <v>1385.70326</v>
      </c>
      <c r="I24" s="106">
        <f t="shared" si="2"/>
        <v>1385.70326</v>
      </c>
      <c r="J24" s="106">
        <v>668.35230000000001</v>
      </c>
      <c r="K24" s="106">
        <f t="shared" si="3"/>
        <v>668.35230000000001</v>
      </c>
      <c r="L24" s="106">
        <v>0</v>
      </c>
      <c r="M24" s="106">
        <v>0</v>
      </c>
      <c r="N24" s="106">
        <f t="shared" si="4"/>
        <v>0</v>
      </c>
      <c r="O24" s="106">
        <v>0</v>
      </c>
      <c r="P24" s="106">
        <f t="shared" si="5"/>
        <v>0</v>
      </c>
      <c r="Q24" s="106">
        <f t="shared" si="6"/>
        <v>5615.5555600000007</v>
      </c>
      <c r="R24" s="106">
        <f t="shared" si="7"/>
        <v>5615.5555600000007</v>
      </c>
      <c r="S24" s="106">
        <f t="shared" si="8"/>
        <v>0.11901801929638461</v>
      </c>
    </row>
    <row r="25" spans="1:19" s="84" customFormat="1" ht="30" x14ac:dyDescent="0.25">
      <c r="A25" s="83">
        <v>18</v>
      </c>
      <c r="B25" s="85" t="s">
        <v>32</v>
      </c>
      <c r="C25" s="86">
        <f t="shared" si="0"/>
        <v>100</v>
      </c>
      <c r="D25" s="106">
        <v>4302.1000000000004</v>
      </c>
      <c r="E25" s="106">
        <f t="shared" si="1"/>
        <v>4302.1000000000004</v>
      </c>
      <c r="F25" s="106">
        <v>0</v>
      </c>
      <c r="G25" s="106">
        <v>0</v>
      </c>
      <c r="H25" s="106">
        <v>2915.1092699999999</v>
      </c>
      <c r="I25" s="106">
        <f t="shared" si="2"/>
        <v>2915.1092699999999</v>
      </c>
      <c r="J25" s="106">
        <f>1057.88669-O25-L25</f>
        <v>1029.8666900000001</v>
      </c>
      <c r="K25" s="106">
        <f t="shared" si="3"/>
        <v>1029.8666900000001</v>
      </c>
      <c r="L25" s="106">
        <v>20.52</v>
      </c>
      <c r="M25" s="106">
        <f>L25</f>
        <v>20.52</v>
      </c>
      <c r="N25" s="106">
        <f t="shared" si="4"/>
        <v>20.52</v>
      </c>
      <c r="O25" s="106">
        <v>7.5</v>
      </c>
      <c r="P25" s="106">
        <f t="shared" si="5"/>
        <v>7.5</v>
      </c>
      <c r="Q25" s="106">
        <f t="shared" si="6"/>
        <v>8275.0959600000006</v>
      </c>
      <c r="R25" s="106">
        <f t="shared" si="7"/>
        <v>8275.0959600000006</v>
      </c>
      <c r="S25" s="106">
        <f t="shared" si="8"/>
        <v>0.12783980936457925</v>
      </c>
    </row>
    <row r="26" spans="1:19" s="84" customFormat="1" ht="30" x14ac:dyDescent="0.25">
      <c r="A26" s="83">
        <v>19</v>
      </c>
      <c r="B26" s="85" t="s">
        <v>33</v>
      </c>
      <c r="C26" s="86">
        <f t="shared" si="0"/>
        <v>100</v>
      </c>
      <c r="D26" s="106">
        <v>4006.1</v>
      </c>
      <c r="E26" s="106">
        <f t="shared" si="1"/>
        <v>4006.1</v>
      </c>
      <c r="F26" s="106">
        <v>0</v>
      </c>
      <c r="G26" s="106">
        <v>0</v>
      </c>
      <c r="H26" s="106">
        <v>4341.8836899999997</v>
      </c>
      <c r="I26" s="106">
        <f t="shared" si="2"/>
        <v>4341.8836899999997</v>
      </c>
      <c r="J26" s="106">
        <f>834.64629-O26</f>
        <v>734.64629000000002</v>
      </c>
      <c r="K26" s="106">
        <f t="shared" si="3"/>
        <v>734.64629000000002</v>
      </c>
      <c r="L26" s="106">
        <v>0</v>
      </c>
      <c r="M26" s="106">
        <v>0</v>
      </c>
      <c r="N26" s="106">
        <f t="shared" si="4"/>
        <v>0</v>
      </c>
      <c r="O26" s="106">
        <v>100</v>
      </c>
      <c r="P26" s="106">
        <f t="shared" si="5"/>
        <v>100</v>
      </c>
      <c r="Q26" s="106">
        <f t="shared" si="6"/>
        <v>9182.6299799999997</v>
      </c>
      <c r="R26" s="106">
        <f t="shared" si="7"/>
        <v>9182.6299799999997</v>
      </c>
      <c r="S26" s="106">
        <f t="shared" si="8"/>
        <v>9.0894034913513971E-2</v>
      </c>
    </row>
    <row r="27" spans="1:19" s="84" customFormat="1" ht="30" x14ac:dyDescent="0.25">
      <c r="A27" s="83">
        <v>20</v>
      </c>
      <c r="B27" s="85" t="s">
        <v>34</v>
      </c>
      <c r="C27" s="86">
        <f>E27/D27*100</f>
        <v>100</v>
      </c>
      <c r="D27" s="106">
        <v>2368.1</v>
      </c>
      <c r="E27" s="106">
        <f t="shared" si="1"/>
        <v>2368.1</v>
      </c>
      <c r="F27" s="106">
        <v>0</v>
      </c>
      <c r="G27" s="106">
        <v>0</v>
      </c>
      <c r="H27" s="106">
        <v>794.08239000000003</v>
      </c>
      <c r="I27" s="106">
        <f t="shared" si="2"/>
        <v>794.08239000000003</v>
      </c>
      <c r="J27" s="106">
        <v>320.67597999999998</v>
      </c>
      <c r="K27" s="106">
        <f t="shared" si="3"/>
        <v>320.67597999999998</v>
      </c>
      <c r="L27" s="106">
        <v>0</v>
      </c>
      <c r="M27" s="106">
        <v>0</v>
      </c>
      <c r="N27" s="106">
        <f t="shared" si="4"/>
        <v>0</v>
      </c>
      <c r="O27" s="106">
        <v>0</v>
      </c>
      <c r="P27" s="106">
        <f t="shared" si="5"/>
        <v>0</v>
      </c>
      <c r="Q27" s="106">
        <f t="shared" si="6"/>
        <v>3482.8583699999999</v>
      </c>
      <c r="R27" s="106">
        <f t="shared" si="7"/>
        <v>3482.8583699999999</v>
      </c>
      <c r="S27" s="106">
        <f t="shared" si="8"/>
        <v>9.2072644343559676E-2</v>
      </c>
    </row>
    <row r="28" spans="1:19" s="84" customFormat="1" ht="30" x14ac:dyDescent="0.25">
      <c r="A28" s="83">
        <v>21</v>
      </c>
      <c r="B28" s="85" t="s">
        <v>35</v>
      </c>
      <c r="C28" s="86">
        <f t="shared" si="0"/>
        <v>100</v>
      </c>
      <c r="D28" s="106">
        <v>1774.8</v>
      </c>
      <c r="E28" s="106">
        <f t="shared" si="1"/>
        <v>1774.8</v>
      </c>
      <c r="F28" s="106">
        <v>0</v>
      </c>
      <c r="G28" s="106">
        <v>0</v>
      </c>
      <c r="H28" s="106">
        <v>426.73270000000002</v>
      </c>
      <c r="I28" s="106">
        <f t="shared" si="2"/>
        <v>426.73270000000002</v>
      </c>
      <c r="J28" s="106">
        <v>99.77319</v>
      </c>
      <c r="K28" s="106">
        <f t="shared" si="3"/>
        <v>99.77319</v>
      </c>
      <c r="L28" s="106">
        <v>0</v>
      </c>
      <c r="M28" s="106">
        <v>0</v>
      </c>
      <c r="N28" s="106">
        <f t="shared" si="4"/>
        <v>0</v>
      </c>
      <c r="O28" s="106">
        <v>0</v>
      </c>
      <c r="P28" s="106">
        <f t="shared" si="5"/>
        <v>0</v>
      </c>
      <c r="Q28" s="106">
        <f t="shared" si="6"/>
        <v>2301.3058899999996</v>
      </c>
      <c r="R28" s="106">
        <f t="shared" si="7"/>
        <v>2301.3058899999996</v>
      </c>
      <c r="S28" s="106">
        <f t="shared" si="8"/>
        <v>4.3355031781542097E-2</v>
      </c>
    </row>
    <row r="29" spans="1:19" s="84" customFormat="1" ht="30" x14ac:dyDescent="0.25">
      <c r="A29" s="83">
        <v>22</v>
      </c>
      <c r="B29" s="85" t="s">
        <v>36</v>
      </c>
      <c r="C29" s="86">
        <f t="shared" si="0"/>
        <v>100</v>
      </c>
      <c r="D29" s="106">
        <v>2960.1</v>
      </c>
      <c r="E29" s="106">
        <f t="shared" si="1"/>
        <v>2960.1</v>
      </c>
      <c r="F29" s="106">
        <v>0</v>
      </c>
      <c r="G29" s="106">
        <v>0</v>
      </c>
      <c r="H29" s="106">
        <v>1301.98298</v>
      </c>
      <c r="I29" s="106">
        <f t="shared" si="2"/>
        <v>1301.98298</v>
      </c>
      <c r="J29" s="106">
        <v>844.70983999999999</v>
      </c>
      <c r="K29" s="106">
        <f t="shared" si="3"/>
        <v>844.70983999999999</v>
      </c>
      <c r="L29" s="106">
        <v>0</v>
      </c>
      <c r="M29" s="106">
        <v>0</v>
      </c>
      <c r="N29" s="106">
        <f t="shared" si="4"/>
        <v>0</v>
      </c>
      <c r="O29" s="106">
        <v>0</v>
      </c>
      <c r="P29" s="106">
        <f t="shared" si="5"/>
        <v>0</v>
      </c>
      <c r="Q29" s="106">
        <f t="shared" si="6"/>
        <v>5106.7928200000006</v>
      </c>
      <c r="R29" s="106">
        <f t="shared" si="7"/>
        <v>5106.7928200000006</v>
      </c>
      <c r="S29" s="106">
        <f t="shared" si="8"/>
        <v>0.16540906783839332</v>
      </c>
    </row>
    <row r="30" spans="1:19" s="84" customFormat="1" ht="30" x14ac:dyDescent="0.25">
      <c r="A30" s="83">
        <v>23</v>
      </c>
      <c r="B30" s="85" t="s">
        <v>134</v>
      </c>
      <c r="C30" s="86">
        <f t="shared" si="0"/>
        <v>100</v>
      </c>
      <c r="D30" s="106">
        <v>1914.6</v>
      </c>
      <c r="E30" s="106">
        <f t="shared" si="1"/>
        <v>1914.6</v>
      </c>
      <c r="F30" s="106">
        <v>0</v>
      </c>
      <c r="G30" s="106">
        <v>0</v>
      </c>
      <c r="H30" s="106">
        <v>450.70907999999997</v>
      </c>
      <c r="I30" s="106">
        <f t="shared" si="2"/>
        <v>450.70907999999997</v>
      </c>
      <c r="J30" s="106">
        <v>125.83942</v>
      </c>
      <c r="K30" s="106">
        <f t="shared" si="3"/>
        <v>125.83942</v>
      </c>
      <c r="L30" s="106">
        <v>0</v>
      </c>
      <c r="M30" s="106">
        <v>0</v>
      </c>
      <c r="N30" s="106">
        <f t="shared" si="4"/>
        <v>0</v>
      </c>
      <c r="O30" s="106">
        <v>0</v>
      </c>
      <c r="P30" s="106">
        <f t="shared" si="5"/>
        <v>0</v>
      </c>
      <c r="Q30" s="106">
        <f t="shared" si="6"/>
        <v>2491.1484999999998</v>
      </c>
      <c r="R30" s="106">
        <f t="shared" si="7"/>
        <v>2491.1484999999998</v>
      </c>
      <c r="S30" s="106">
        <f t="shared" si="8"/>
        <v>5.0514620063797887E-2</v>
      </c>
    </row>
    <row r="31" spans="1:19" s="84" customFormat="1" ht="15" x14ac:dyDescent="0.25">
      <c r="A31" s="83">
        <v>24</v>
      </c>
      <c r="B31" s="85" t="s">
        <v>37</v>
      </c>
      <c r="C31" s="86">
        <f t="shared" si="0"/>
        <v>100</v>
      </c>
      <c r="D31" s="106">
        <v>3351.1717899999999</v>
      </c>
      <c r="E31" s="106">
        <f t="shared" si="1"/>
        <v>3351.1717899999999</v>
      </c>
      <c r="F31" s="106">
        <v>0</v>
      </c>
      <c r="G31" s="106">
        <v>0</v>
      </c>
      <c r="H31" s="106">
        <v>2346.8156300000001</v>
      </c>
      <c r="I31" s="106">
        <f t="shared" si="2"/>
        <v>2346.8156300000001</v>
      </c>
      <c r="J31" s="106">
        <f>687.81653-O31</f>
        <v>618.83652999999993</v>
      </c>
      <c r="K31" s="106">
        <f t="shared" si="3"/>
        <v>618.83652999999993</v>
      </c>
      <c r="L31" s="106">
        <v>0</v>
      </c>
      <c r="M31" s="106">
        <v>0</v>
      </c>
      <c r="N31" s="106">
        <f t="shared" si="4"/>
        <v>0</v>
      </c>
      <c r="O31" s="106">
        <v>68.98</v>
      </c>
      <c r="P31" s="106">
        <f t="shared" si="5"/>
        <v>68.98</v>
      </c>
      <c r="Q31" s="106">
        <f t="shared" si="6"/>
        <v>6385.8039499999986</v>
      </c>
      <c r="R31" s="106">
        <f t="shared" si="7"/>
        <v>6385.8039499999986</v>
      </c>
      <c r="S31" s="106">
        <f>(J31+L31+O31)/Q31</f>
        <v>0.10771024844882689</v>
      </c>
    </row>
    <row r="32" spans="1:19" s="84" customFormat="1" ht="15" x14ac:dyDescent="0.25">
      <c r="A32" s="83">
        <v>25</v>
      </c>
      <c r="B32" s="85" t="s">
        <v>38</v>
      </c>
      <c r="C32" s="86">
        <f t="shared" si="0"/>
        <v>100</v>
      </c>
      <c r="D32" s="106">
        <v>7199.8261000000002</v>
      </c>
      <c r="E32" s="106">
        <f t="shared" si="1"/>
        <v>7199.8261000000002</v>
      </c>
      <c r="F32" s="106">
        <v>0</v>
      </c>
      <c r="G32" s="106">
        <v>0</v>
      </c>
      <c r="H32" s="106">
        <v>2914.9927699999998</v>
      </c>
      <c r="I32" s="106">
        <f t="shared" si="2"/>
        <v>2914.9927699999998</v>
      </c>
      <c r="J32" s="106">
        <f>1505.40176-O32</f>
        <v>1491.10176</v>
      </c>
      <c r="K32" s="106">
        <f t="shared" si="3"/>
        <v>1491.10176</v>
      </c>
      <c r="L32" s="106">
        <v>0</v>
      </c>
      <c r="M32" s="106">
        <v>0</v>
      </c>
      <c r="N32" s="106">
        <f t="shared" si="4"/>
        <v>0</v>
      </c>
      <c r="O32" s="106">
        <v>14.3</v>
      </c>
      <c r="P32" s="106">
        <f t="shared" si="5"/>
        <v>14.3</v>
      </c>
      <c r="Q32" s="106">
        <f t="shared" si="6"/>
        <v>11620.220629999998</v>
      </c>
      <c r="R32" s="106">
        <f t="shared" si="7"/>
        <v>11620.220629999998</v>
      </c>
      <c r="S32" s="106">
        <f t="shared" si="8"/>
        <v>0.12955018737884327</v>
      </c>
    </row>
    <row r="33" spans="1:19" s="84" customFormat="1" ht="30" x14ac:dyDescent="0.25">
      <c r="A33" s="83">
        <v>26</v>
      </c>
      <c r="B33" s="85" t="s">
        <v>39</v>
      </c>
      <c r="C33" s="86">
        <f t="shared" si="0"/>
        <v>100</v>
      </c>
      <c r="D33" s="106">
        <v>3081.6285600000001</v>
      </c>
      <c r="E33" s="106">
        <f t="shared" si="1"/>
        <v>3081.6285600000001</v>
      </c>
      <c r="F33" s="106">
        <v>0</v>
      </c>
      <c r="G33" s="106">
        <v>0</v>
      </c>
      <c r="H33" s="106">
        <v>820.07606999999996</v>
      </c>
      <c r="I33" s="106">
        <f t="shared" si="2"/>
        <v>820.07606999999996</v>
      </c>
      <c r="J33" s="106">
        <f>420.607-L33</f>
        <v>417.74700000000001</v>
      </c>
      <c r="K33" s="106">
        <f t="shared" si="3"/>
        <v>417.74700000000001</v>
      </c>
      <c r="L33" s="106">
        <v>2.86</v>
      </c>
      <c r="M33" s="106">
        <f>L33</f>
        <v>2.86</v>
      </c>
      <c r="N33" s="106">
        <f t="shared" si="4"/>
        <v>2.86</v>
      </c>
      <c r="O33" s="106">
        <v>0</v>
      </c>
      <c r="P33" s="106">
        <f t="shared" si="5"/>
        <v>0</v>
      </c>
      <c r="Q33" s="106">
        <f t="shared" si="6"/>
        <v>4322.3116300000002</v>
      </c>
      <c r="R33" s="106">
        <f t="shared" si="7"/>
        <v>4322.3116300000002</v>
      </c>
      <c r="S33" s="106">
        <f t="shared" si="8"/>
        <v>9.7310660592049916E-2</v>
      </c>
    </row>
    <row r="34" spans="1:19" s="84" customFormat="1" ht="30" x14ac:dyDescent="0.25">
      <c r="A34" s="83">
        <v>27</v>
      </c>
      <c r="B34" s="85" t="s">
        <v>40</v>
      </c>
      <c r="C34" s="86">
        <f t="shared" si="0"/>
        <v>100</v>
      </c>
      <c r="D34" s="106">
        <v>4571.1757799999996</v>
      </c>
      <c r="E34" s="106">
        <f t="shared" si="1"/>
        <v>4571.1757799999996</v>
      </c>
      <c r="F34" s="106">
        <v>0</v>
      </c>
      <c r="G34" s="106">
        <v>0</v>
      </c>
      <c r="H34" s="106">
        <v>2655.3090099999999</v>
      </c>
      <c r="I34" s="106">
        <f t="shared" si="2"/>
        <v>2655.3090099999999</v>
      </c>
      <c r="J34" s="106">
        <v>1013.35699</v>
      </c>
      <c r="K34" s="106">
        <f t="shared" si="3"/>
        <v>1013.35699</v>
      </c>
      <c r="L34" s="106">
        <v>0</v>
      </c>
      <c r="M34" s="106">
        <v>0</v>
      </c>
      <c r="N34" s="106">
        <f t="shared" si="4"/>
        <v>0</v>
      </c>
      <c r="O34" s="106">
        <v>0</v>
      </c>
      <c r="P34" s="106">
        <f t="shared" si="5"/>
        <v>0</v>
      </c>
      <c r="Q34" s="106">
        <f t="shared" si="6"/>
        <v>8239.8417799999988</v>
      </c>
      <c r="R34" s="106">
        <f t="shared" si="7"/>
        <v>8239.8417799999988</v>
      </c>
      <c r="S34" s="106">
        <f t="shared" si="8"/>
        <v>0.12298257867762118</v>
      </c>
    </row>
    <row r="35" spans="1:19" s="84" customFormat="1" ht="30" x14ac:dyDescent="0.25">
      <c r="A35" s="83">
        <v>28</v>
      </c>
      <c r="B35" s="85" t="s">
        <v>41</v>
      </c>
      <c r="C35" s="86">
        <f t="shared" si="0"/>
        <v>100</v>
      </c>
      <c r="D35" s="106">
        <v>3358.7</v>
      </c>
      <c r="E35" s="106">
        <f t="shared" si="1"/>
        <v>3358.7</v>
      </c>
      <c r="F35" s="106">
        <v>0</v>
      </c>
      <c r="G35" s="106">
        <v>0</v>
      </c>
      <c r="H35" s="106">
        <v>3032.45721</v>
      </c>
      <c r="I35" s="106">
        <f t="shared" si="2"/>
        <v>3032.45721</v>
      </c>
      <c r="J35" s="106">
        <v>576.55723999999998</v>
      </c>
      <c r="K35" s="106">
        <f t="shared" si="3"/>
        <v>576.55723999999998</v>
      </c>
      <c r="L35" s="106">
        <v>0</v>
      </c>
      <c r="M35" s="106">
        <v>0</v>
      </c>
      <c r="N35" s="106">
        <f t="shared" si="4"/>
        <v>0</v>
      </c>
      <c r="O35" s="106">
        <v>0</v>
      </c>
      <c r="P35" s="106">
        <f t="shared" si="5"/>
        <v>0</v>
      </c>
      <c r="Q35" s="106">
        <f t="shared" si="6"/>
        <v>6967.7144499999995</v>
      </c>
      <c r="R35" s="106">
        <f t="shared" si="7"/>
        <v>6967.7144499999995</v>
      </c>
      <c r="S35" s="106">
        <f>(J35+L35+O35)/Q35</f>
        <v>8.2746967335895927E-2</v>
      </c>
    </row>
    <row r="36" spans="1:19" s="84" customFormat="1" ht="30" x14ac:dyDescent="0.25">
      <c r="A36" s="83">
        <v>29</v>
      </c>
      <c r="B36" s="85" t="s">
        <v>42</v>
      </c>
      <c r="C36" s="86">
        <f t="shared" si="0"/>
        <v>100</v>
      </c>
      <c r="D36" s="106">
        <v>2804.6</v>
      </c>
      <c r="E36" s="106">
        <f t="shared" si="1"/>
        <v>2804.6</v>
      </c>
      <c r="F36" s="106">
        <v>0</v>
      </c>
      <c r="G36" s="106">
        <v>0</v>
      </c>
      <c r="H36" s="106">
        <v>794.75818000000004</v>
      </c>
      <c r="I36" s="106">
        <f t="shared" si="2"/>
        <v>794.75818000000004</v>
      </c>
      <c r="J36" s="106">
        <v>401.08632999999998</v>
      </c>
      <c r="K36" s="106">
        <f t="shared" si="3"/>
        <v>401.08632999999998</v>
      </c>
      <c r="L36" s="106">
        <v>0</v>
      </c>
      <c r="M36" s="106">
        <v>0</v>
      </c>
      <c r="N36" s="106">
        <f t="shared" si="4"/>
        <v>0</v>
      </c>
      <c r="O36" s="106">
        <v>0</v>
      </c>
      <c r="P36" s="106">
        <f t="shared" si="5"/>
        <v>0</v>
      </c>
      <c r="Q36" s="106">
        <f t="shared" si="6"/>
        <v>4000.4445100000003</v>
      </c>
      <c r="R36" s="106">
        <f t="shared" si="7"/>
        <v>4000.4445100000003</v>
      </c>
      <c r="S36" s="106">
        <f t="shared" si="8"/>
        <v>0.10026044080786412</v>
      </c>
    </row>
    <row r="37" spans="1:19" s="84" customFormat="1" ht="30" x14ac:dyDescent="0.25">
      <c r="A37" s="83">
        <v>30</v>
      </c>
      <c r="B37" s="85" t="s">
        <v>43</v>
      </c>
      <c r="C37" s="86">
        <f t="shared" si="0"/>
        <v>100</v>
      </c>
      <c r="D37" s="106">
        <v>5093.1000000000004</v>
      </c>
      <c r="E37" s="106">
        <f t="shared" si="1"/>
        <v>5093.1000000000004</v>
      </c>
      <c r="F37" s="106">
        <v>0</v>
      </c>
      <c r="G37" s="106">
        <v>0</v>
      </c>
      <c r="H37" s="106">
        <v>2202.79081</v>
      </c>
      <c r="I37" s="106">
        <f t="shared" si="2"/>
        <v>2202.79081</v>
      </c>
      <c r="J37" s="106">
        <v>897.33036000000004</v>
      </c>
      <c r="K37" s="106">
        <f t="shared" si="3"/>
        <v>897.33036000000004</v>
      </c>
      <c r="L37" s="106">
        <v>0</v>
      </c>
      <c r="M37" s="106">
        <v>0</v>
      </c>
      <c r="N37" s="106">
        <f t="shared" si="4"/>
        <v>0</v>
      </c>
      <c r="O37" s="106">
        <v>0</v>
      </c>
      <c r="P37" s="106">
        <f t="shared" si="5"/>
        <v>0</v>
      </c>
      <c r="Q37" s="106">
        <f t="shared" si="6"/>
        <v>8193.2211700000007</v>
      </c>
      <c r="R37" s="106">
        <f t="shared" si="7"/>
        <v>8193.2211700000007</v>
      </c>
      <c r="S37" s="106">
        <f t="shared" si="8"/>
        <v>0.1095210713077821</v>
      </c>
    </row>
    <row r="38" spans="1:19" s="84" customFormat="1" ht="30" x14ac:dyDescent="0.25">
      <c r="A38" s="83">
        <v>31</v>
      </c>
      <c r="B38" s="85" t="s">
        <v>44</v>
      </c>
      <c r="C38" s="86">
        <f>E38/D38*100</f>
        <v>100</v>
      </c>
      <c r="D38" s="106">
        <v>4617.8999999999996</v>
      </c>
      <c r="E38" s="106">
        <f t="shared" si="1"/>
        <v>4617.8999999999996</v>
      </c>
      <c r="F38" s="106">
        <v>0</v>
      </c>
      <c r="G38" s="106">
        <v>0</v>
      </c>
      <c r="H38" s="106">
        <v>2972.9227900000001</v>
      </c>
      <c r="I38" s="106">
        <f t="shared" si="2"/>
        <v>2972.9227900000001</v>
      </c>
      <c r="J38" s="106">
        <v>1266.41554</v>
      </c>
      <c r="K38" s="106">
        <f t="shared" si="3"/>
        <v>1266.41554</v>
      </c>
      <c r="L38" s="106">
        <v>0</v>
      </c>
      <c r="M38" s="106">
        <v>0</v>
      </c>
      <c r="N38" s="106">
        <f t="shared" si="4"/>
        <v>0</v>
      </c>
      <c r="O38" s="106">
        <v>0</v>
      </c>
      <c r="P38" s="106">
        <f t="shared" si="5"/>
        <v>0</v>
      </c>
      <c r="Q38" s="106">
        <f t="shared" si="6"/>
        <v>8857.2383300000001</v>
      </c>
      <c r="R38" s="106">
        <f t="shared" si="7"/>
        <v>8857.2383300000001</v>
      </c>
      <c r="S38" s="106">
        <f t="shared" si="8"/>
        <v>0.1429808584590723</v>
      </c>
    </row>
    <row r="39" spans="1:19" s="84" customFormat="1" ht="30" x14ac:dyDescent="0.25">
      <c r="A39" s="83">
        <v>32</v>
      </c>
      <c r="B39" s="85" t="s">
        <v>45</v>
      </c>
      <c r="C39" s="86">
        <f t="shared" si="0"/>
        <v>100</v>
      </c>
      <c r="D39" s="106">
        <v>4733.7</v>
      </c>
      <c r="E39" s="106">
        <f t="shared" si="1"/>
        <v>4733.7</v>
      </c>
      <c r="F39" s="106">
        <v>0</v>
      </c>
      <c r="G39" s="106">
        <v>0</v>
      </c>
      <c r="H39" s="106">
        <v>2256.38949</v>
      </c>
      <c r="I39" s="106">
        <f t="shared" si="2"/>
        <v>2256.38949</v>
      </c>
      <c r="J39" s="106">
        <f>1017.64429-O39</f>
        <v>972.14428999999996</v>
      </c>
      <c r="K39" s="106">
        <f t="shared" si="3"/>
        <v>972.14428999999996</v>
      </c>
      <c r="L39" s="106">
        <v>0</v>
      </c>
      <c r="M39" s="106">
        <v>0</v>
      </c>
      <c r="N39" s="106">
        <f t="shared" si="4"/>
        <v>0</v>
      </c>
      <c r="O39" s="106">
        <v>45.5</v>
      </c>
      <c r="P39" s="106">
        <f t="shared" si="5"/>
        <v>45.5</v>
      </c>
      <c r="Q39" s="106">
        <f t="shared" si="6"/>
        <v>8007.7337800000005</v>
      </c>
      <c r="R39" s="106">
        <f t="shared" si="7"/>
        <v>8007.7337800000005</v>
      </c>
      <c r="S39" s="106">
        <f t="shared" si="8"/>
        <v>0.12708268256140751</v>
      </c>
    </row>
    <row r="40" spans="1:19" s="84" customFormat="1" ht="30" x14ac:dyDescent="0.25">
      <c r="A40" s="83">
        <v>33</v>
      </c>
      <c r="B40" s="85" t="s">
        <v>46</v>
      </c>
      <c r="C40" s="86">
        <f t="shared" si="0"/>
        <v>100</v>
      </c>
      <c r="D40" s="106">
        <v>8185.4</v>
      </c>
      <c r="E40" s="106">
        <f t="shared" si="1"/>
        <v>8185.4</v>
      </c>
      <c r="F40" s="106">
        <v>0</v>
      </c>
      <c r="G40" s="106">
        <v>0</v>
      </c>
      <c r="H40" s="106">
        <v>1168.00476</v>
      </c>
      <c r="I40" s="106">
        <f t="shared" si="2"/>
        <v>1168.00476</v>
      </c>
      <c r="J40" s="106">
        <v>153.875</v>
      </c>
      <c r="K40" s="106">
        <f t="shared" si="3"/>
        <v>153.875</v>
      </c>
      <c r="L40" s="106">
        <v>0</v>
      </c>
      <c r="M40" s="106">
        <v>0</v>
      </c>
      <c r="N40" s="106">
        <f t="shared" si="4"/>
        <v>0</v>
      </c>
      <c r="O40" s="106">
        <v>0</v>
      </c>
      <c r="P40" s="106">
        <f t="shared" si="5"/>
        <v>0</v>
      </c>
      <c r="Q40" s="106">
        <f t="shared" si="6"/>
        <v>9507.2797599999994</v>
      </c>
      <c r="R40" s="106">
        <f t="shared" si="7"/>
        <v>9507.2797599999994</v>
      </c>
      <c r="S40" s="106">
        <f t="shared" si="8"/>
        <v>1.6184966034911336E-2</v>
      </c>
    </row>
    <row r="41" spans="1:19" s="84" customFormat="1" ht="30" x14ac:dyDescent="0.25">
      <c r="A41" s="83">
        <v>34</v>
      </c>
      <c r="B41" s="85" t="s">
        <v>47</v>
      </c>
      <c r="C41" s="86">
        <f t="shared" si="0"/>
        <v>100</v>
      </c>
      <c r="D41" s="106">
        <v>16846.3</v>
      </c>
      <c r="E41" s="106">
        <f t="shared" si="1"/>
        <v>16846.3</v>
      </c>
      <c r="F41" s="106">
        <v>0</v>
      </c>
      <c r="G41" s="106">
        <v>0</v>
      </c>
      <c r="H41" s="106">
        <v>3080.28728</v>
      </c>
      <c r="I41" s="106">
        <f t="shared" si="2"/>
        <v>3080.28728</v>
      </c>
      <c r="J41" s="106">
        <f>632.02507-O41</f>
        <v>631.02507000000003</v>
      </c>
      <c r="K41" s="106">
        <f t="shared" si="3"/>
        <v>631.02507000000003</v>
      </c>
      <c r="L41" s="106">
        <v>0</v>
      </c>
      <c r="M41" s="106">
        <v>0</v>
      </c>
      <c r="N41" s="106">
        <f t="shared" si="4"/>
        <v>0</v>
      </c>
      <c r="O41" s="106">
        <v>1</v>
      </c>
      <c r="P41" s="106">
        <f t="shared" si="5"/>
        <v>1</v>
      </c>
      <c r="Q41" s="106">
        <f t="shared" si="6"/>
        <v>20558.612349999999</v>
      </c>
      <c r="R41" s="106">
        <f t="shared" si="7"/>
        <v>20558.612349999999</v>
      </c>
      <c r="S41" s="106">
        <f t="shared" si="8"/>
        <v>3.0742593869668447E-2</v>
      </c>
    </row>
    <row r="42" spans="1:19" s="84" customFormat="1" ht="30" x14ac:dyDescent="0.25">
      <c r="A42" s="83">
        <v>35</v>
      </c>
      <c r="B42" s="85" t="s">
        <v>48</v>
      </c>
      <c r="C42" s="86">
        <f t="shared" si="0"/>
        <v>100</v>
      </c>
      <c r="D42" s="106">
        <v>8214.9</v>
      </c>
      <c r="E42" s="106">
        <f t="shared" si="1"/>
        <v>8214.9</v>
      </c>
      <c r="F42" s="106">
        <v>0</v>
      </c>
      <c r="G42" s="106">
        <v>0</v>
      </c>
      <c r="H42" s="106">
        <v>1724.06998</v>
      </c>
      <c r="I42" s="106">
        <f t="shared" si="2"/>
        <v>1724.06998</v>
      </c>
      <c r="J42" s="106">
        <v>0</v>
      </c>
      <c r="K42" s="106">
        <f t="shared" si="3"/>
        <v>0</v>
      </c>
      <c r="L42" s="106">
        <v>0</v>
      </c>
      <c r="M42" s="106">
        <v>0</v>
      </c>
      <c r="N42" s="106">
        <f t="shared" si="4"/>
        <v>0</v>
      </c>
      <c r="O42" s="106">
        <v>0</v>
      </c>
      <c r="P42" s="106">
        <v>0</v>
      </c>
      <c r="Q42" s="106">
        <f t="shared" si="6"/>
        <v>9938.9699799999999</v>
      </c>
      <c r="R42" s="106">
        <f t="shared" si="7"/>
        <v>9938.9699799999999</v>
      </c>
      <c r="S42" s="106">
        <f t="shared" si="8"/>
        <v>0</v>
      </c>
    </row>
    <row r="43" spans="1:19" s="84" customFormat="1" ht="30" x14ac:dyDescent="0.25">
      <c r="A43" s="83">
        <v>36</v>
      </c>
      <c r="B43" s="85" t="s">
        <v>49</v>
      </c>
      <c r="C43" s="86">
        <f t="shared" si="0"/>
        <v>100</v>
      </c>
      <c r="D43" s="106">
        <v>6900.9</v>
      </c>
      <c r="E43" s="106">
        <f t="shared" si="1"/>
        <v>6900.9</v>
      </c>
      <c r="F43" s="106">
        <v>0</v>
      </c>
      <c r="G43" s="106">
        <v>0</v>
      </c>
      <c r="H43" s="106">
        <v>1178.0397800000001</v>
      </c>
      <c r="I43" s="106">
        <f t="shared" si="2"/>
        <v>1178.0397800000001</v>
      </c>
      <c r="J43" s="106">
        <v>119.55</v>
      </c>
      <c r="K43" s="106">
        <f t="shared" si="3"/>
        <v>119.55</v>
      </c>
      <c r="L43" s="106">
        <v>0</v>
      </c>
      <c r="M43" s="106">
        <v>0</v>
      </c>
      <c r="N43" s="106">
        <f t="shared" si="4"/>
        <v>0</v>
      </c>
      <c r="O43" s="106">
        <v>0</v>
      </c>
      <c r="P43" s="106">
        <f t="shared" si="5"/>
        <v>0</v>
      </c>
      <c r="Q43" s="106">
        <f t="shared" si="6"/>
        <v>8198.4897799999999</v>
      </c>
      <c r="R43" s="106">
        <f t="shared" si="7"/>
        <v>8198.4897799999999</v>
      </c>
      <c r="S43" s="106">
        <f>(J43+L43+O43)/Q43</f>
        <v>1.4581953897367668E-2</v>
      </c>
    </row>
    <row r="44" spans="1:19" s="84" customFormat="1" ht="30" x14ac:dyDescent="0.25">
      <c r="A44" s="83">
        <v>37</v>
      </c>
      <c r="B44" s="85" t="s">
        <v>50</v>
      </c>
      <c r="C44" s="86">
        <f t="shared" si="0"/>
        <v>100</v>
      </c>
      <c r="D44" s="106">
        <v>7724.7</v>
      </c>
      <c r="E44" s="106">
        <f t="shared" si="1"/>
        <v>7724.7</v>
      </c>
      <c r="F44" s="106">
        <v>0</v>
      </c>
      <c r="G44" s="106">
        <v>0</v>
      </c>
      <c r="H44" s="106">
        <v>639.06425999999999</v>
      </c>
      <c r="I44" s="106">
        <f t="shared" si="2"/>
        <v>639.06425999999999</v>
      </c>
      <c r="J44" s="106">
        <v>0</v>
      </c>
      <c r="K44" s="106">
        <f t="shared" si="3"/>
        <v>0</v>
      </c>
      <c r="L44" s="106">
        <v>0</v>
      </c>
      <c r="M44" s="106">
        <v>0</v>
      </c>
      <c r="N44" s="106">
        <f t="shared" si="4"/>
        <v>0</v>
      </c>
      <c r="O44" s="106">
        <v>0</v>
      </c>
      <c r="P44" s="106">
        <f t="shared" si="5"/>
        <v>0</v>
      </c>
      <c r="Q44" s="106">
        <f t="shared" si="6"/>
        <v>8363.7642599999999</v>
      </c>
      <c r="R44" s="106">
        <f t="shared" si="7"/>
        <v>8363.7642599999999</v>
      </c>
      <c r="S44" s="106">
        <f>(J44+L44+O44)/Q44</f>
        <v>0</v>
      </c>
    </row>
    <row r="45" spans="1:19" s="84" customFormat="1" ht="30" x14ac:dyDescent="0.25">
      <c r="A45" s="83">
        <v>38</v>
      </c>
      <c r="B45" s="85" t="s">
        <v>51</v>
      </c>
      <c r="C45" s="86">
        <f t="shared" si="0"/>
        <v>100</v>
      </c>
      <c r="D45" s="106">
        <v>22306.3</v>
      </c>
      <c r="E45" s="106">
        <f t="shared" si="1"/>
        <v>22306.3</v>
      </c>
      <c r="F45" s="106">
        <v>0</v>
      </c>
      <c r="G45" s="106">
        <v>0</v>
      </c>
      <c r="H45" s="106">
        <v>5351.9185100000004</v>
      </c>
      <c r="I45" s="106">
        <f t="shared" si="2"/>
        <v>5351.9185100000004</v>
      </c>
      <c r="J45" s="106">
        <f>769.85-L45-O45</f>
        <v>528.78</v>
      </c>
      <c r="K45" s="106">
        <f t="shared" si="3"/>
        <v>528.78</v>
      </c>
      <c r="L45" s="106">
        <v>2.64</v>
      </c>
      <c r="M45" s="106">
        <f>L45</f>
        <v>2.64</v>
      </c>
      <c r="N45" s="106">
        <f t="shared" si="4"/>
        <v>2.64</v>
      </c>
      <c r="O45" s="106">
        <v>238.43</v>
      </c>
      <c r="P45" s="106">
        <f t="shared" si="5"/>
        <v>238.43</v>
      </c>
      <c r="Q45" s="106">
        <f t="shared" si="6"/>
        <v>28428.068509999997</v>
      </c>
      <c r="R45" s="106">
        <f t="shared" si="7"/>
        <v>28428.068509999997</v>
      </c>
      <c r="S45" s="106">
        <f t="shared" si="8"/>
        <v>2.7080629826440501E-2</v>
      </c>
    </row>
    <row r="46" spans="1:19" s="84" customFormat="1" ht="30" x14ac:dyDescent="0.25">
      <c r="A46" s="83">
        <v>39</v>
      </c>
      <c r="B46" s="85" t="s">
        <v>52</v>
      </c>
      <c r="C46" s="86">
        <f t="shared" si="0"/>
        <v>100</v>
      </c>
      <c r="D46" s="106">
        <v>10183.700000000001</v>
      </c>
      <c r="E46" s="106">
        <f t="shared" si="1"/>
        <v>10183.700000000001</v>
      </c>
      <c r="F46" s="106">
        <v>0</v>
      </c>
      <c r="G46" s="106">
        <v>0</v>
      </c>
      <c r="H46" s="106">
        <v>2576.14741</v>
      </c>
      <c r="I46" s="106">
        <f t="shared" si="2"/>
        <v>2576.14741</v>
      </c>
      <c r="J46" s="106">
        <v>0</v>
      </c>
      <c r="K46" s="106">
        <f t="shared" si="3"/>
        <v>0</v>
      </c>
      <c r="L46" s="106">
        <v>0</v>
      </c>
      <c r="M46" s="106">
        <v>0</v>
      </c>
      <c r="N46" s="106">
        <f t="shared" si="4"/>
        <v>0</v>
      </c>
      <c r="O46" s="106">
        <v>0</v>
      </c>
      <c r="P46" s="106">
        <f t="shared" si="5"/>
        <v>0</v>
      </c>
      <c r="Q46" s="106">
        <f t="shared" si="6"/>
        <v>12759.84741</v>
      </c>
      <c r="R46" s="106">
        <f t="shared" si="7"/>
        <v>12759.84741</v>
      </c>
      <c r="S46" s="106">
        <f t="shared" si="8"/>
        <v>0</v>
      </c>
    </row>
    <row r="47" spans="1:19" s="84" customFormat="1" ht="30" x14ac:dyDescent="0.25">
      <c r="A47" s="83">
        <v>40</v>
      </c>
      <c r="B47" s="85" t="s">
        <v>53</v>
      </c>
      <c r="C47" s="86">
        <f t="shared" si="0"/>
        <v>100</v>
      </c>
      <c r="D47" s="106">
        <v>38993.9</v>
      </c>
      <c r="E47" s="106">
        <f t="shared" si="1"/>
        <v>38993.9</v>
      </c>
      <c r="F47" s="106">
        <v>0</v>
      </c>
      <c r="G47" s="106">
        <v>0</v>
      </c>
      <c r="H47" s="106">
        <v>8141.1261599999998</v>
      </c>
      <c r="I47" s="106">
        <f t="shared" si="2"/>
        <v>8141.1261599999998</v>
      </c>
      <c r="J47" s="106">
        <f>435.319-O47</f>
        <v>397.31900000000002</v>
      </c>
      <c r="K47" s="106">
        <f t="shared" si="3"/>
        <v>397.31900000000002</v>
      </c>
      <c r="L47" s="106">
        <v>0</v>
      </c>
      <c r="M47" s="106">
        <v>0</v>
      </c>
      <c r="N47" s="106">
        <f t="shared" si="4"/>
        <v>0</v>
      </c>
      <c r="O47" s="106">
        <v>38</v>
      </c>
      <c r="P47" s="106">
        <f t="shared" si="5"/>
        <v>38</v>
      </c>
      <c r="Q47" s="106">
        <f t="shared" si="6"/>
        <v>47570.345160000004</v>
      </c>
      <c r="R47" s="106">
        <f t="shared" si="7"/>
        <v>47570.345160000004</v>
      </c>
      <c r="S47" s="106">
        <f t="shared" si="8"/>
        <v>9.1510582598429892E-3</v>
      </c>
    </row>
    <row r="48" spans="1:19" s="84" customFormat="1" ht="30" x14ac:dyDescent="0.25">
      <c r="A48" s="83">
        <v>41</v>
      </c>
      <c r="B48" s="85" t="s">
        <v>54</v>
      </c>
      <c r="C48" s="86">
        <f t="shared" si="0"/>
        <v>100</v>
      </c>
      <c r="D48" s="106">
        <v>22571.200000000001</v>
      </c>
      <c r="E48" s="106">
        <f t="shared" si="1"/>
        <v>22571.200000000001</v>
      </c>
      <c r="F48" s="106">
        <v>0</v>
      </c>
      <c r="G48" s="106">
        <v>0</v>
      </c>
      <c r="H48" s="106">
        <v>6429.0975099999996</v>
      </c>
      <c r="I48" s="106">
        <f t="shared" si="2"/>
        <v>6429.0975099999996</v>
      </c>
      <c r="J48" s="106">
        <v>0</v>
      </c>
      <c r="K48" s="106">
        <f t="shared" si="3"/>
        <v>0</v>
      </c>
      <c r="L48" s="106">
        <v>0</v>
      </c>
      <c r="M48" s="106">
        <v>0</v>
      </c>
      <c r="N48" s="106">
        <v>0</v>
      </c>
      <c r="O48" s="106">
        <v>0</v>
      </c>
      <c r="P48" s="106">
        <f t="shared" si="5"/>
        <v>0</v>
      </c>
      <c r="Q48" s="106">
        <f t="shared" si="6"/>
        <v>29000.29751</v>
      </c>
      <c r="R48" s="106">
        <f t="shared" si="7"/>
        <v>29000.29751</v>
      </c>
      <c r="S48" s="106">
        <f t="shared" si="8"/>
        <v>0</v>
      </c>
    </row>
    <row r="49" spans="1:19" s="84" customFormat="1" ht="30" x14ac:dyDescent="0.25">
      <c r="A49" s="83">
        <v>42</v>
      </c>
      <c r="B49" s="85" t="s">
        <v>55</v>
      </c>
      <c r="C49" s="86">
        <f>E49/D49*100</f>
        <v>100</v>
      </c>
      <c r="D49" s="106">
        <v>26173.9</v>
      </c>
      <c r="E49" s="106">
        <f t="shared" si="1"/>
        <v>26173.9</v>
      </c>
      <c r="F49" s="106">
        <v>0</v>
      </c>
      <c r="G49" s="106">
        <v>0</v>
      </c>
      <c r="H49" s="106">
        <v>4256.0863600000002</v>
      </c>
      <c r="I49" s="106">
        <f t="shared" si="2"/>
        <v>4256.0863600000002</v>
      </c>
      <c r="J49" s="106">
        <v>174.875</v>
      </c>
      <c r="K49" s="106">
        <f t="shared" si="3"/>
        <v>174.875</v>
      </c>
      <c r="L49" s="106">
        <v>0</v>
      </c>
      <c r="M49" s="106">
        <v>0</v>
      </c>
      <c r="N49" s="106">
        <f t="shared" si="4"/>
        <v>0</v>
      </c>
      <c r="O49" s="106">
        <v>0</v>
      </c>
      <c r="P49" s="106">
        <f t="shared" si="5"/>
        <v>0</v>
      </c>
      <c r="Q49" s="106">
        <f t="shared" si="6"/>
        <v>30604.861360000003</v>
      </c>
      <c r="R49" s="106">
        <f t="shared" si="7"/>
        <v>30604.861360000003</v>
      </c>
      <c r="S49" s="106">
        <f>(J49+L49+O49)/Q49</f>
        <v>5.7139615155570823E-3</v>
      </c>
    </row>
    <row r="50" spans="1:19" s="84" customFormat="1" ht="30" x14ac:dyDescent="0.25">
      <c r="A50" s="83">
        <v>43</v>
      </c>
      <c r="B50" s="85" t="s">
        <v>56</v>
      </c>
      <c r="C50" s="86">
        <f t="shared" si="0"/>
        <v>100</v>
      </c>
      <c r="D50" s="106">
        <v>15962.9</v>
      </c>
      <c r="E50" s="106">
        <f t="shared" si="1"/>
        <v>15962.9</v>
      </c>
      <c r="F50" s="106">
        <v>0</v>
      </c>
      <c r="G50" s="106">
        <v>0</v>
      </c>
      <c r="H50" s="106">
        <v>3843.8132799999998</v>
      </c>
      <c r="I50" s="106">
        <f t="shared" si="2"/>
        <v>3843.8132799999998</v>
      </c>
      <c r="J50" s="106">
        <v>0</v>
      </c>
      <c r="K50" s="106">
        <f t="shared" si="3"/>
        <v>0</v>
      </c>
      <c r="L50" s="106">
        <v>0</v>
      </c>
      <c r="M50" s="106">
        <v>0</v>
      </c>
      <c r="N50" s="106">
        <f t="shared" si="4"/>
        <v>0</v>
      </c>
      <c r="O50" s="106">
        <v>0</v>
      </c>
      <c r="P50" s="106">
        <v>0</v>
      </c>
      <c r="Q50" s="106">
        <f t="shared" si="6"/>
        <v>19806.71328</v>
      </c>
      <c r="R50" s="106">
        <f t="shared" si="7"/>
        <v>19806.71328</v>
      </c>
      <c r="S50" s="106">
        <f t="shared" si="8"/>
        <v>0</v>
      </c>
    </row>
    <row r="51" spans="1:19" s="84" customFormat="1" ht="30" x14ac:dyDescent="0.25">
      <c r="A51" s="83">
        <v>44</v>
      </c>
      <c r="B51" s="85" t="s">
        <v>57</v>
      </c>
      <c r="C51" s="86">
        <f t="shared" si="0"/>
        <v>100</v>
      </c>
      <c r="D51" s="106">
        <v>11094.3</v>
      </c>
      <c r="E51" s="106">
        <f t="shared" si="1"/>
        <v>11094.3</v>
      </c>
      <c r="F51" s="106">
        <v>0</v>
      </c>
      <c r="G51" s="106">
        <v>0</v>
      </c>
      <c r="H51" s="106">
        <v>1753.96209</v>
      </c>
      <c r="I51" s="106">
        <f t="shared" si="2"/>
        <v>1753.96209</v>
      </c>
      <c r="J51" s="106">
        <v>407.27499999999998</v>
      </c>
      <c r="K51" s="106">
        <f t="shared" si="3"/>
        <v>407.27499999999998</v>
      </c>
      <c r="L51" s="106">
        <v>0</v>
      </c>
      <c r="M51" s="106">
        <v>0</v>
      </c>
      <c r="N51" s="106">
        <f t="shared" si="4"/>
        <v>0</v>
      </c>
      <c r="O51" s="106">
        <v>0</v>
      </c>
      <c r="P51" s="106">
        <f t="shared" si="5"/>
        <v>0</v>
      </c>
      <c r="Q51" s="106">
        <f t="shared" si="6"/>
        <v>13255.53709</v>
      </c>
      <c r="R51" s="106">
        <f t="shared" si="7"/>
        <v>13255.53709</v>
      </c>
      <c r="S51" s="106">
        <f t="shared" si="8"/>
        <v>3.0724896112074473E-2</v>
      </c>
    </row>
    <row r="52" spans="1:19" s="84" customFormat="1" ht="30" x14ac:dyDescent="0.25">
      <c r="A52" s="83">
        <v>45</v>
      </c>
      <c r="B52" s="85" t="s">
        <v>58</v>
      </c>
      <c r="C52" s="86">
        <f t="shared" si="0"/>
        <v>100</v>
      </c>
      <c r="D52" s="106">
        <v>15222.3</v>
      </c>
      <c r="E52" s="106">
        <f t="shared" si="1"/>
        <v>15222.3</v>
      </c>
      <c r="F52" s="106">
        <v>0</v>
      </c>
      <c r="G52" s="106">
        <v>0</v>
      </c>
      <c r="H52" s="106">
        <v>3972.1068</v>
      </c>
      <c r="I52" s="106">
        <f t="shared" si="2"/>
        <v>3972.1068</v>
      </c>
      <c r="J52" s="106">
        <f>386.5-O52</f>
        <v>212.5</v>
      </c>
      <c r="K52" s="106">
        <f t="shared" si="3"/>
        <v>212.5</v>
      </c>
      <c r="L52" s="106">
        <v>0</v>
      </c>
      <c r="M52" s="106">
        <v>0</v>
      </c>
      <c r="N52" s="106">
        <f t="shared" si="4"/>
        <v>0</v>
      </c>
      <c r="O52" s="106">
        <v>174</v>
      </c>
      <c r="P52" s="106">
        <f t="shared" si="5"/>
        <v>174</v>
      </c>
      <c r="Q52" s="106">
        <f t="shared" si="6"/>
        <v>19580.906800000001</v>
      </c>
      <c r="R52" s="106">
        <f t="shared" si="7"/>
        <v>19580.906800000001</v>
      </c>
      <c r="S52" s="106">
        <f t="shared" si="8"/>
        <v>1.9738615986875541E-2</v>
      </c>
    </row>
    <row r="53" spans="1:19" s="84" customFormat="1" ht="30" x14ac:dyDescent="0.25">
      <c r="A53" s="83">
        <v>46</v>
      </c>
      <c r="B53" s="85" t="s">
        <v>59</v>
      </c>
      <c r="C53" s="86">
        <f t="shared" si="0"/>
        <v>100</v>
      </c>
      <c r="D53" s="106">
        <v>10397.799999999999</v>
      </c>
      <c r="E53" s="106">
        <f t="shared" si="1"/>
        <v>10397.799999999999</v>
      </c>
      <c r="F53" s="106">
        <v>0</v>
      </c>
      <c r="G53" s="106">
        <v>0</v>
      </c>
      <c r="H53" s="106">
        <v>1828.5431000000001</v>
      </c>
      <c r="I53" s="106">
        <f t="shared" si="2"/>
        <v>1828.5431000000001</v>
      </c>
      <c r="J53" s="106">
        <v>379.76249999999999</v>
      </c>
      <c r="K53" s="106">
        <f t="shared" si="3"/>
        <v>379.76249999999999</v>
      </c>
      <c r="L53" s="106">
        <v>0</v>
      </c>
      <c r="M53" s="106">
        <v>0</v>
      </c>
      <c r="N53" s="106">
        <f t="shared" si="4"/>
        <v>0</v>
      </c>
      <c r="O53" s="106">
        <v>0</v>
      </c>
      <c r="P53" s="106">
        <f t="shared" si="5"/>
        <v>0</v>
      </c>
      <c r="Q53" s="106">
        <f t="shared" si="6"/>
        <v>12606.105600000001</v>
      </c>
      <c r="R53" s="106">
        <f t="shared" si="7"/>
        <v>12606.105600000001</v>
      </c>
      <c r="S53" s="106">
        <f t="shared" si="8"/>
        <v>3.0125283100912621E-2</v>
      </c>
    </row>
    <row r="54" spans="1:19" s="84" customFormat="1" ht="30" x14ac:dyDescent="0.25">
      <c r="A54" s="83">
        <v>47</v>
      </c>
      <c r="B54" s="85" t="s">
        <v>60</v>
      </c>
      <c r="C54" s="86">
        <f t="shared" si="0"/>
        <v>100</v>
      </c>
      <c r="D54" s="106">
        <v>11630.6</v>
      </c>
      <c r="E54" s="106">
        <f t="shared" si="1"/>
        <v>11630.6</v>
      </c>
      <c r="F54" s="106">
        <v>0</v>
      </c>
      <c r="G54" s="106">
        <v>0</v>
      </c>
      <c r="H54" s="106">
        <v>3070.9331099999999</v>
      </c>
      <c r="I54" s="106">
        <f t="shared" si="2"/>
        <v>3070.9331099999999</v>
      </c>
      <c r="J54" s="106">
        <v>0</v>
      </c>
      <c r="K54" s="106">
        <f t="shared" si="3"/>
        <v>0</v>
      </c>
      <c r="L54" s="106">
        <v>0</v>
      </c>
      <c r="M54" s="106">
        <v>0</v>
      </c>
      <c r="N54" s="106">
        <f t="shared" si="4"/>
        <v>0</v>
      </c>
      <c r="O54" s="106">
        <v>0</v>
      </c>
      <c r="P54" s="106">
        <f t="shared" si="5"/>
        <v>0</v>
      </c>
      <c r="Q54" s="106">
        <f t="shared" si="6"/>
        <v>14701.53311</v>
      </c>
      <c r="R54" s="106">
        <f t="shared" si="7"/>
        <v>14701.53311</v>
      </c>
      <c r="S54" s="106">
        <f t="shared" si="8"/>
        <v>0</v>
      </c>
    </row>
    <row r="55" spans="1:19" s="84" customFormat="1" ht="30" x14ac:dyDescent="0.25">
      <c r="A55" s="83">
        <v>48</v>
      </c>
      <c r="B55" s="85" t="s">
        <v>61</v>
      </c>
      <c r="C55" s="86">
        <f t="shared" si="0"/>
        <v>100</v>
      </c>
      <c r="D55" s="106">
        <v>13580.3</v>
      </c>
      <c r="E55" s="106">
        <f t="shared" si="1"/>
        <v>13580.3</v>
      </c>
      <c r="F55" s="106">
        <v>0</v>
      </c>
      <c r="G55" s="106">
        <v>0</v>
      </c>
      <c r="H55" s="106">
        <v>3830.3449000000001</v>
      </c>
      <c r="I55" s="106">
        <f t="shared" si="2"/>
        <v>3830.3449000000001</v>
      </c>
      <c r="J55" s="106">
        <f>222.19908-O55</f>
        <v>217.50145000000001</v>
      </c>
      <c r="K55" s="106">
        <f t="shared" si="3"/>
        <v>217.50145000000001</v>
      </c>
      <c r="L55" s="106">
        <v>0</v>
      </c>
      <c r="M55" s="106">
        <v>0</v>
      </c>
      <c r="N55" s="106">
        <f t="shared" si="4"/>
        <v>0</v>
      </c>
      <c r="O55" s="106">
        <v>4.6976300000000002</v>
      </c>
      <c r="P55" s="106">
        <f t="shared" si="5"/>
        <v>4.6976300000000002</v>
      </c>
      <c r="Q55" s="106">
        <f t="shared" si="6"/>
        <v>17632.843979999998</v>
      </c>
      <c r="R55" s="106">
        <f t="shared" si="7"/>
        <v>17632.843979999998</v>
      </c>
      <c r="S55" s="106">
        <f>(K55+L55+O55)/Q55</f>
        <v>1.2601431751567057E-2</v>
      </c>
    </row>
    <row r="56" spans="1:19" s="84" customFormat="1" ht="30" x14ac:dyDescent="0.25">
      <c r="A56" s="83">
        <v>49</v>
      </c>
      <c r="B56" s="85" t="s">
        <v>62</v>
      </c>
      <c r="C56" s="86">
        <f t="shared" si="0"/>
        <v>100</v>
      </c>
      <c r="D56" s="106">
        <v>10001.891</v>
      </c>
      <c r="E56" s="106">
        <f t="shared" si="1"/>
        <v>10001.891</v>
      </c>
      <c r="F56" s="106">
        <v>0</v>
      </c>
      <c r="G56" s="106">
        <v>0</v>
      </c>
      <c r="H56" s="106">
        <v>1979.2963099999999</v>
      </c>
      <c r="I56" s="106">
        <f t="shared" si="2"/>
        <v>1979.2963099999999</v>
      </c>
      <c r="J56" s="106">
        <v>176.58750000000001</v>
      </c>
      <c r="K56" s="106">
        <f t="shared" si="3"/>
        <v>176.58750000000001</v>
      </c>
      <c r="L56" s="106">
        <v>0</v>
      </c>
      <c r="M56" s="106">
        <v>0</v>
      </c>
      <c r="N56" s="106">
        <f t="shared" si="4"/>
        <v>0</v>
      </c>
      <c r="O56" s="106">
        <v>0</v>
      </c>
      <c r="P56" s="106">
        <f t="shared" si="5"/>
        <v>0</v>
      </c>
      <c r="Q56" s="106">
        <f t="shared" si="6"/>
        <v>12157.774809999999</v>
      </c>
      <c r="R56" s="106">
        <f t="shared" si="7"/>
        <v>12157.774809999999</v>
      </c>
      <c r="S56" s="106">
        <f t="shared" si="8"/>
        <v>1.4524656259857147E-2</v>
      </c>
    </row>
    <row r="57" spans="1:19" s="84" customFormat="1" ht="30" x14ac:dyDescent="0.25">
      <c r="A57" s="83">
        <v>50</v>
      </c>
      <c r="B57" s="85" t="s">
        <v>63</v>
      </c>
      <c r="C57" s="86">
        <f t="shared" si="0"/>
        <v>100</v>
      </c>
      <c r="D57" s="106">
        <v>12471.1</v>
      </c>
      <c r="E57" s="106">
        <f t="shared" si="1"/>
        <v>12471.1</v>
      </c>
      <c r="F57" s="106">
        <v>0</v>
      </c>
      <c r="G57" s="106">
        <v>0</v>
      </c>
      <c r="H57" s="106">
        <v>4129.6868800000002</v>
      </c>
      <c r="I57" s="106">
        <f t="shared" si="2"/>
        <v>4129.6868800000002</v>
      </c>
      <c r="J57" s="106">
        <v>0</v>
      </c>
      <c r="K57" s="106">
        <f t="shared" si="3"/>
        <v>0</v>
      </c>
      <c r="L57" s="106">
        <v>0</v>
      </c>
      <c r="M57" s="106">
        <v>0</v>
      </c>
      <c r="N57" s="106">
        <f t="shared" si="4"/>
        <v>0</v>
      </c>
      <c r="O57" s="106">
        <v>0</v>
      </c>
      <c r="P57" s="106">
        <f t="shared" si="5"/>
        <v>0</v>
      </c>
      <c r="Q57" s="106">
        <f t="shared" si="6"/>
        <v>16600.78688</v>
      </c>
      <c r="R57" s="106">
        <f t="shared" si="7"/>
        <v>16600.78688</v>
      </c>
      <c r="S57" s="106">
        <f>(J57+L57+O57)/Q57</f>
        <v>0</v>
      </c>
    </row>
    <row r="58" spans="1:19" s="84" customFormat="1" ht="30" x14ac:dyDescent="0.25">
      <c r="A58" s="83">
        <v>51</v>
      </c>
      <c r="B58" s="85" t="s">
        <v>64</v>
      </c>
      <c r="C58" s="86">
        <f t="shared" si="0"/>
        <v>100</v>
      </c>
      <c r="D58" s="106">
        <v>6812.4</v>
      </c>
      <c r="E58" s="106">
        <f t="shared" si="1"/>
        <v>6812.4</v>
      </c>
      <c r="F58" s="106">
        <v>0</v>
      </c>
      <c r="G58" s="106">
        <v>0</v>
      </c>
      <c r="H58" s="106">
        <v>1872.3751500000001</v>
      </c>
      <c r="I58" s="106">
        <f t="shared" si="2"/>
        <v>1872.3751500000001</v>
      </c>
      <c r="J58" s="106">
        <v>0</v>
      </c>
      <c r="K58" s="106">
        <f t="shared" si="3"/>
        <v>0</v>
      </c>
      <c r="L58" s="106">
        <v>0</v>
      </c>
      <c r="M58" s="106">
        <v>0</v>
      </c>
      <c r="N58" s="106">
        <f t="shared" si="4"/>
        <v>0</v>
      </c>
      <c r="O58" s="106">
        <v>0</v>
      </c>
      <c r="P58" s="106">
        <f t="shared" si="5"/>
        <v>0</v>
      </c>
      <c r="Q58" s="106">
        <f t="shared" si="6"/>
        <v>8684.7751499999995</v>
      </c>
      <c r="R58" s="106">
        <f t="shared" si="7"/>
        <v>8684.7751499999995</v>
      </c>
      <c r="S58" s="106">
        <f t="shared" si="8"/>
        <v>0</v>
      </c>
    </row>
    <row r="59" spans="1:19" s="84" customFormat="1" ht="30" x14ac:dyDescent="0.25">
      <c r="A59" s="83">
        <v>52</v>
      </c>
      <c r="B59" s="85" t="s">
        <v>65</v>
      </c>
      <c r="C59" s="86">
        <f t="shared" si="0"/>
        <v>100</v>
      </c>
      <c r="D59" s="106">
        <v>10189.299999999999</v>
      </c>
      <c r="E59" s="106">
        <f t="shared" si="1"/>
        <v>10189.299999999999</v>
      </c>
      <c r="F59" s="106">
        <v>0</v>
      </c>
      <c r="G59" s="106">
        <v>0</v>
      </c>
      <c r="H59" s="106">
        <v>2236.0934299999999</v>
      </c>
      <c r="I59" s="106">
        <f t="shared" si="2"/>
        <v>2236.0934299999999</v>
      </c>
      <c r="J59" s="106">
        <v>209.88453000000001</v>
      </c>
      <c r="K59" s="106">
        <f t="shared" si="3"/>
        <v>209.88453000000001</v>
      </c>
      <c r="L59" s="106">
        <v>0</v>
      </c>
      <c r="M59" s="106">
        <v>0</v>
      </c>
      <c r="N59" s="106">
        <f t="shared" si="4"/>
        <v>0</v>
      </c>
      <c r="O59" s="106">
        <v>0</v>
      </c>
      <c r="P59" s="106">
        <f t="shared" si="5"/>
        <v>0</v>
      </c>
      <c r="Q59" s="106">
        <f t="shared" si="6"/>
        <v>12635.277959999999</v>
      </c>
      <c r="R59" s="106">
        <f t="shared" si="7"/>
        <v>12635.277959999999</v>
      </c>
      <c r="S59" s="106">
        <f t="shared" si="8"/>
        <v>1.6610994286349677E-2</v>
      </c>
    </row>
    <row r="60" spans="1:19" s="84" customFormat="1" ht="30" x14ac:dyDescent="0.25">
      <c r="A60" s="83">
        <v>53</v>
      </c>
      <c r="B60" s="85" t="s">
        <v>66</v>
      </c>
      <c r="C60" s="86">
        <f>E60/D60*100</f>
        <v>100</v>
      </c>
      <c r="D60" s="106">
        <v>13730.1</v>
      </c>
      <c r="E60" s="106">
        <f t="shared" si="1"/>
        <v>13730.1</v>
      </c>
      <c r="F60" s="106">
        <v>0</v>
      </c>
      <c r="G60" s="106">
        <v>0</v>
      </c>
      <c r="H60" s="106">
        <v>3367.0909700000002</v>
      </c>
      <c r="I60" s="106">
        <f t="shared" si="2"/>
        <v>3367.0909700000002</v>
      </c>
      <c r="J60" s="106">
        <v>0</v>
      </c>
      <c r="K60" s="106">
        <f t="shared" si="3"/>
        <v>0</v>
      </c>
      <c r="L60" s="106">
        <v>0</v>
      </c>
      <c r="M60" s="106">
        <v>0</v>
      </c>
      <c r="N60" s="106">
        <f t="shared" si="4"/>
        <v>0</v>
      </c>
      <c r="O60" s="106">
        <v>0</v>
      </c>
      <c r="P60" s="106">
        <f t="shared" si="5"/>
        <v>0</v>
      </c>
      <c r="Q60" s="106">
        <f t="shared" si="6"/>
        <v>17097.19097</v>
      </c>
      <c r="R60" s="106">
        <f t="shared" si="7"/>
        <v>17097.19097</v>
      </c>
      <c r="S60" s="106">
        <f t="shared" si="8"/>
        <v>0</v>
      </c>
    </row>
    <row r="61" spans="1:19" s="84" customFormat="1" ht="30" x14ac:dyDescent="0.25">
      <c r="A61" s="83">
        <v>54</v>
      </c>
      <c r="B61" s="85" t="s">
        <v>67</v>
      </c>
      <c r="C61" s="86">
        <f t="shared" si="0"/>
        <v>100</v>
      </c>
      <c r="D61" s="106">
        <v>7373.9</v>
      </c>
      <c r="E61" s="106">
        <f t="shared" si="1"/>
        <v>7373.9</v>
      </c>
      <c r="F61" s="106">
        <v>0</v>
      </c>
      <c r="G61" s="106">
        <v>0</v>
      </c>
      <c r="H61" s="106">
        <v>1653.0924</v>
      </c>
      <c r="I61" s="106">
        <f t="shared" si="2"/>
        <v>1653.0924</v>
      </c>
      <c r="J61" s="106">
        <v>0</v>
      </c>
      <c r="K61" s="106">
        <f t="shared" si="3"/>
        <v>0</v>
      </c>
      <c r="L61" s="106">
        <v>0</v>
      </c>
      <c r="M61" s="106">
        <v>0</v>
      </c>
      <c r="N61" s="106">
        <f t="shared" si="4"/>
        <v>0</v>
      </c>
      <c r="O61" s="106">
        <v>0</v>
      </c>
      <c r="P61" s="106">
        <f t="shared" si="5"/>
        <v>0</v>
      </c>
      <c r="Q61" s="106">
        <f t="shared" si="6"/>
        <v>9026.9923999999992</v>
      </c>
      <c r="R61" s="106">
        <f t="shared" si="7"/>
        <v>9026.9923999999992</v>
      </c>
      <c r="S61" s="106">
        <f t="shared" si="8"/>
        <v>0</v>
      </c>
    </row>
    <row r="62" spans="1:19" s="84" customFormat="1" ht="30" x14ac:dyDescent="0.25">
      <c r="A62" s="83">
        <v>55</v>
      </c>
      <c r="B62" s="85" t="s">
        <v>68</v>
      </c>
      <c r="C62" s="86">
        <f t="shared" si="0"/>
        <v>100</v>
      </c>
      <c r="D62" s="106">
        <v>12853.1</v>
      </c>
      <c r="E62" s="106">
        <f t="shared" si="1"/>
        <v>12853.1</v>
      </c>
      <c r="F62" s="106">
        <v>0</v>
      </c>
      <c r="G62" s="106">
        <v>0</v>
      </c>
      <c r="H62" s="106">
        <v>2225.3366900000001</v>
      </c>
      <c r="I62" s="106">
        <f t="shared" si="2"/>
        <v>2225.3366900000001</v>
      </c>
      <c r="J62" s="106">
        <v>0</v>
      </c>
      <c r="K62" s="106">
        <f t="shared" si="3"/>
        <v>0</v>
      </c>
      <c r="L62" s="106">
        <v>0</v>
      </c>
      <c r="M62" s="106">
        <v>0</v>
      </c>
      <c r="N62" s="106">
        <f t="shared" si="4"/>
        <v>0</v>
      </c>
      <c r="O62" s="106">
        <v>0</v>
      </c>
      <c r="P62" s="106">
        <f t="shared" si="5"/>
        <v>0</v>
      </c>
      <c r="Q62" s="106">
        <f t="shared" si="6"/>
        <v>15078.43669</v>
      </c>
      <c r="R62" s="106">
        <f t="shared" si="7"/>
        <v>15078.43669</v>
      </c>
      <c r="S62" s="106">
        <f>(J62+L62+O62)/Q62</f>
        <v>0</v>
      </c>
    </row>
    <row r="63" spans="1:19" s="84" customFormat="1" ht="30" x14ac:dyDescent="0.25">
      <c r="A63" s="83">
        <v>56</v>
      </c>
      <c r="B63" s="85" t="s">
        <v>69</v>
      </c>
      <c r="C63" s="86">
        <f t="shared" si="0"/>
        <v>100</v>
      </c>
      <c r="D63" s="106">
        <v>15776.6</v>
      </c>
      <c r="E63" s="106">
        <f t="shared" si="1"/>
        <v>15776.6</v>
      </c>
      <c r="F63" s="106">
        <v>0</v>
      </c>
      <c r="G63" s="106">
        <v>0</v>
      </c>
      <c r="H63" s="106">
        <v>4261.4200899999996</v>
      </c>
      <c r="I63" s="106">
        <f t="shared" si="2"/>
        <v>4261.4200899999996</v>
      </c>
      <c r="J63" s="106">
        <f>204.62875-O63</f>
        <v>134.42874999999998</v>
      </c>
      <c r="K63" s="106">
        <f t="shared" si="3"/>
        <v>134.42874999999998</v>
      </c>
      <c r="L63" s="106">
        <v>0</v>
      </c>
      <c r="M63" s="106">
        <v>0</v>
      </c>
      <c r="N63" s="106">
        <f t="shared" si="4"/>
        <v>0</v>
      </c>
      <c r="O63" s="106">
        <v>70.2</v>
      </c>
      <c r="P63" s="106">
        <f t="shared" si="5"/>
        <v>70.2</v>
      </c>
      <c r="Q63" s="106">
        <f t="shared" si="6"/>
        <v>20242.648839999998</v>
      </c>
      <c r="R63" s="106">
        <f t="shared" si="7"/>
        <v>20242.648839999998</v>
      </c>
      <c r="S63" s="106">
        <f t="shared" si="8"/>
        <v>1.010879315337666E-2</v>
      </c>
    </row>
    <row r="64" spans="1:19" s="84" customFormat="1" ht="30" x14ac:dyDescent="0.25">
      <c r="A64" s="83">
        <v>57</v>
      </c>
      <c r="B64" s="85" t="s">
        <v>70</v>
      </c>
      <c r="C64" s="86">
        <f t="shared" si="0"/>
        <v>100</v>
      </c>
      <c r="D64" s="106">
        <v>13418.5</v>
      </c>
      <c r="E64" s="106">
        <f t="shared" si="1"/>
        <v>13418.5</v>
      </c>
      <c r="F64" s="106">
        <v>0</v>
      </c>
      <c r="G64" s="106">
        <v>0</v>
      </c>
      <c r="H64" s="106">
        <v>3972.0819799999999</v>
      </c>
      <c r="I64" s="106">
        <f t="shared" si="2"/>
        <v>3972.0819799999999</v>
      </c>
      <c r="J64" s="106">
        <f>384.38132-O64</f>
        <v>371.38132000000002</v>
      </c>
      <c r="K64" s="106">
        <f t="shared" si="3"/>
        <v>371.38132000000002</v>
      </c>
      <c r="L64" s="106">
        <v>0</v>
      </c>
      <c r="M64" s="106">
        <v>0</v>
      </c>
      <c r="N64" s="106">
        <f t="shared" si="4"/>
        <v>0</v>
      </c>
      <c r="O64" s="106">
        <v>13</v>
      </c>
      <c r="P64" s="106">
        <f t="shared" si="5"/>
        <v>13</v>
      </c>
      <c r="Q64" s="106">
        <f t="shared" si="6"/>
        <v>17774.963299999999</v>
      </c>
      <c r="R64" s="106">
        <f t="shared" si="7"/>
        <v>17774.963299999999</v>
      </c>
      <c r="S64" s="106">
        <f t="shared" si="8"/>
        <v>2.162487277821834E-2</v>
      </c>
    </row>
    <row r="65" spans="1:20" s="84" customFormat="1" ht="30" x14ac:dyDescent="0.25">
      <c r="A65" s="83">
        <v>58</v>
      </c>
      <c r="B65" s="85" t="s">
        <v>71</v>
      </c>
      <c r="C65" s="86">
        <f t="shared" si="0"/>
        <v>100</v>
      </c>
      <c r="D65" s="106">
        <v>13333.8</v>
      </c>
      <c r="E65" s="106">
        <f t="shared" si="1"/>
        <v>13333.8</v>
      </c>
      <c r="F65" s="106">
        <v>0</v>
      </c>
      <c r="G65" s="106">
        <v>0</v>
      </c>
      <c r="H65" s="106">
        <v>3888.3035500000001</v>
      </c>
      <c r="I65" s="106">
        <f t="shared" si="2"/>
        <v>3888.3035500000001</v>
      </c>
      <c r="J65" s="106">
        <v>0</v>
      </c>
      <c r="K65" s="106">
        <f t="shared" si="3"/>
        <v>0</v>
      </c>
      <c r="L65" s="106">
        <v>0</v>
      </c>
      <c r="M65" s="106">
        <v>0</v>
      </c>
      <c r="N65" s="106">
        <f t="shared" si="4"/>
        <v>0</v>
      </c>
      <c r="O65" s="106">
        <v>0</v>
      </c>
      <c r="P65" s="106">
        <f t="shared" si="5"/>
        <v>0</v>
      </c>
      <c r="Q65" s="106">
        <f t="shared" si="6"/>
        <v>17222.10355</v>
      </c>
      <c r="R65" s="106">
        <f t="shared" si="7"/>
        <v>17222.10355</v>
      </c>
      <c r="S65" s="106">
        <f t="shared" si="8"/>
        <v>0</v>
      </c>
    </row>
    <row r="66" spans="1:20" s="84" customFormat="1" ht="30" x14ac:dyDescent="0.25">
      <c r="A66" s="83">
        <v>59</v>
      </c>
      <c r="B66" s="85" t="s">
        <v>72</v>
      </c>
      <c r="C66" s="86">
        <f t="shared" si="0"/>
        <v>100</v>
      </c>
      <c r="D66" s="106">
        <v>5724.2</v>
      </c>
      <c r="E66" s="106">
        <f t="shared" si="1"/>
        <v>5724.2</v>
      </c>
      <c r="F66" s="106">
        <v>0</v>
      </c>
      <c r="G66" s="106">
        <v>0</v>
      </c>
      <c r="H66" s="106">
        <v>1363.3322499999999</v>
      </c>
      <c r="I66" s="106">
        <f t="shared" si="2"/>
        <v>1363.3322499999999</v>
      </c>
      <c r="J66" s="106">
        <v>157.47450000000001</v>
      </c>
      <c r="K66" s="106">
        <f t="shared" si="3"/>
        <v>157.47450000000001</v>
      </c>
      <c r="L66" s="106">
        <v>0</v>
      </c>
      <c r="M66" s="106">
        <v>0</v>
      </c>
      <c r="N66" s="106">
        <f t="shared" si="4"/>
        <v>0</v>
      </c>
      <c r="O66" s="106">
        <v>0</v>
      </c>
      <c r="P66" s="106">
        <f t="shared" si="5"/>
        <v>0</v>
      </c>
      <c r="Q66" s="106">
        <f t="shared" si="6"/>
        <v>7245.0067500000005</v>
      </c>
      <c r="R66" s="106">
        <f t="shared" si="7"/>
        <v>7245.0067500000005</v>
      </c>
      <c r="S66" s="106">
        <f t="shared" si="8"/>
        <v>2.1735590515495378E-2</v>
      </c>
    </row>
    <row r="67" spans="1:20" s="84" customFormat="1" ht="30" x14ac:dyDescent="0.25">
      <c r="A67" s="83">
        <v>60</v>
      </c>
      <c r="B67" s="85" t="s">
        <v>73</v>
      </c>
      <c r="C67" s="86">
        <f t="shared" si="0"/>
        <v>100</v>
      </c>
      <c r="D67" s="106">
        <v>5771.2</v>
      </c>
      <c r="E67" s="106">
        <f t="shared" si="1"/>
        <v>5771.2</v>
      </c>
      <c r="F67" s="106">
        <v>0</v>
      </c>
      <c r="G67" s="106">
        <v>0</v>
      </c>
      <c r="H67" s="106">
        <v>1638.6483599999999</v>
      </c>
      <c r="I67" s="106">
        <f t="shared" si="2"/>
        <v>1638.6483599999999</v>
      </c>
      <c r="J67" s="106">
        <f>55.9042-L67</f>
        <v>31.645630000000004</v>
      </c>
      <c r="K67" s="106">
        <f t="shared" si="3"/>
        <v>31.645630000000004</v>
      </c>
      <c r="L67" s="106">
        <v>24.258569999999999</v>
      </c>
      <c r="M67" s="106">
        <f>L67</f>
        <v>24.258569999999999</v>
      </c>
      <c r="N67" s="106">
        <f t="shared" si="4"/>
        <v>24.258569999999999</v>
      </c>
      <c r="O67" s="106">
        <v>0</v>
      </c>
      <c r="P67" s="106">
        <f t="shared" si="5"/>
        <v>0</v>
      </c>
      <c r="Q67" s="106">
        <f t="shared" si="6"/>
        <v>7465.7525599999999</v>
      </c>
      <c r="R67" s="106">
        <f t="shared" si="7"/>
        <v>7465.7525599999999</v>
      </c>
      <c r="S67" s="106">
        <f t="shared" si="8"/>
        <v>7.4880863718312148E-3</v>
      </c>
    </row>
    <row r="68" spans="1:20" s="84" customFormat="1" ht="15" x14ac:dyDescent="0.25">
      <c r="A68" s="83">
        <v>61</v>
      </c>
      <c r="B68" s="85" t="s">
        <v>74</v>
      </c>
      <c r="C68" s="86">
        <f t="shared" si="0"/>
        <v>100</v>
      </c>
      <c r="D68" s="106">
        <v>2196.4050000000002</v>
      </c>
      <c r="E68" s="106">
        <f t="shared" si="1"/>
        <v>2196.4050000000002</v>
      </c>
      <c r="F68" s="106">
        <v>0</v>
      </c>
      <c r="G68" s="106">
        <v>0</v>
      </c>
      <c r="H68" s="106">
        <v>877.36167999999998</v>
      </c>
      <c r="I68" s="106">
        <f t="shared" si="2"/>
        <v>877.36167999999998</v>
      </c>
      <c r="J68" s="106">
        <v>0</v>
      </c>
      <c r="K68" s="106">
        <f t="shared" si="3"/>
        <v>0</v>
      </c>
      <c r="L68" s="106">
        <v>0</v>
      </c>
      <c r="M68" s="106">
        <v>0</v>
      </c>
      <c r="N68" s="106">
        <f t="shared" si="4"/>
        <v>0</v>
      </c>
      <c r="O68" s="106">
        <v>0</v>
      </c>
      <c r="P68" s="106">
        <f t="shared" si="5"/>
        <v>0</v>
      </c>
      <c r="Q68" s="106">
        <f t="shared" si="6"/>
        <v>3073.7666800000002</v>
      </c>
      <c r="R68" s="106">
        <f t="shared" si="7"/>
        <v>3073.7666800000002</v>
      </c>
      <c r="S68" s="106">
        <f t="shared" si="8"/>
        <v>0</v>
      </c>
    </row>
    <row r="69" spans="1:20" s="84" customFormat="1" ht="15" x14ac:dyDescent="0.25">
      <c r="A69" s="83">
        <v>62</v>
      </c>
      <c r="B69" s="85" t="s">
        <v>75</v>
      </c>
      <c r="C69" s="86">
        <f t="shared" si="0"/>
        <v>100</v>
      </c>
      <c r="D69" s="106">
        <v>2926.3009999999999</v>
      </c>
      <c r="E69" s="106">
        <f t="shared" si="1"/>
        <v>2926.3009999999999</v>
      </c>
      <c r="F69" s="106">
        <v>0</v>
      </c>
      <c r="G69" s="106">
        <v>0</v>
      </c>
      <c r="H69" s="106">
        <v>1168.0979</v>
      </c>
      <c r="I69" s="106">
        <f t="shared" si="2"/>
        <v>1168.0979</v>
      </c>
      <c r="J69" s="106">
        <v>0</v>
      </c>
      <c r="K69" s="106">
        <f t="shared" si="3"/>
        <v>0</v>
      </c>
      <c r="L69" s="106">
        <v>0</v>
      </c>
      <c r="M69" s="106">
        <v>0</v>
      </c>
      <c r="N69" s="106">
        <f t="shared" si="4"/>
        <v>0</v>
      </c>
      <c r="O69" s="106">
        <v>0</v>
      </c>
      <c r="P69" s="106">
        <f t="shared" si="5"/>
        <v>0</v>
      </c>
      <c r="Q69" s="106">
        <f t="shared" si="6"/>
        <v>4094.3989000000001</v>
      </c>
      <c r="R69" s="106">
        <f t="shared" si="7"/>
        <v>4094.3989000000001</v>
      </c>
      <c r="S69" s="106">
        <f t="shared" si="8"/>
        <v>0</v>
      </c>
    </row>
    <row r="70" spans="1:20" s="84" customFormat="1" ht="30" x14ac:dyDescent="0.25">
      <c r="A70" s="83">
        <v>63</v>
      </c>
      <c r="B70" s="85" t="s">
        <v>76</v>
      </c>
      <c r="C70" s="86">
        <f>E70/D70*100</f>
        <v>100</v>
      </c>
      <c r="D70" s="106">
        <v>3659.92</v>
      </c>
      <c r="E70" s="106">
        <f t="shared" si="1"/>
        <v>3659.92</v>
      </c>
      <c r="F70" s="106">
        <v>0</v>
      </c>
      <c r="G70" s="106">
        <v>0</v>
      </c>
      <c r="H70" s="106">
        <v>1603.3225</v>
      </c>
      <c r="I70" s="106">
        <f t="shared" si="2"/>
        <v>1603.3225</v>
      </c>
      <c r="J70" s="106">
        <v>0</v>
      </c>
      <c r="K70" s="106">
        <f t="shared" si="3"/>
        <v>0</v>
      </c>
      <c r="L70" s="106">
        <v>0</v>
      </c>
      <c r="M70" s="106">
        <v>0</v>
      </c>
      <c r="N70" s="106">
        <f t="shared" si="4"/>
        <v>0</v>
      </c>
      <c r="O70" s="106">
        <v>0</v>
      </c>
      <c r="P70" s="106">
        <f t="shared" si="5"/>
        <v>0</v>
      </c>
      <c r="Q70" s="106">
        <f t="shared" si="6"/>
        <v>5263.2425000000003</v>
      </c>
      <c r="R70" s="106">
        <f t="shared" si="7"/>
        <v>5263.2425000000003</v>
      </c>
      <c r="S70" s="106">
        <f>(J70+L70+O70)/Q70</f>
        <v>0</v>
      </c>
    </row>
    <row r="71" spans="1:20" s="84" customFormat="1" ht="30" x14ac:dyDescent="0.25">
      <c r="A71" s="83">
        <v>64</v>
      </c>
      <c r="B71" s="85" t="s">
        <v>77</v>
      </c>
      <c r="C71" s="86">
        <f t="shared" si="0"/>
        <v>100</v>
      </c>
      <c r="D71" s="106">
        <v>2183.5680000000002</v>
      </c>
      <c r="E71" s="106">
        <f t="shared" si="1"/>
        <v>2183.5680000000002</v>
      </c>
      <c r="F71" s="106">
        <v>0</v>
      </c>
      <c r="G71" s="106">
        <v>0</v>
      </c>
      <c r="H71" s="106">
        <v>685.99261999999999</v>
      </c>
      <c r="I71" s="106">
        <f t="shared" si="2"/>
        <v>685.99261999999999</v>
      </c>
      <c r="J71" s="106">
        <v>0</v>
      </c>
      <c r="K71" s="106">
        <f t="shared" si="3"/>
        <v>0</v>
      </c>
      <c r="L71" s="106">
        <v>0</v>
      </c>
      <c r="M71" s="106">
        <v>0</v>
      </c>
      <c r="N71" s="106">
        <f t="shared" si="4"/>
        <v>0</v>
      </c>
      <c r="O71" s="106">
        <v>0</v>
      </c>
      <c r="P71" s="106">
        <f t="shared" si="5"/>
        <v>0</v>
      </c>
      <c r="Q71" s="106">
        <f t="shared" si="6"/>
        <v>2869.5606200000002</v>
      </c>
      <c r="R71" s="106">
        <f t="shared" si="7"/>
        <v>2869.5606200000002</v>
      </c>
      <c r="S71" s="106">
        <f t="shared" si="8"/>
        <v>0</v>
      </c>
    </row>
    <row r="72" spans="1:20" s="84" customFormat="1" ht="30" x14ac:dyDescent="0.25">
      <c r="A72" s="83">
        <v>65</v>
      </c>
      <c r="B72" s="85" t="s">
        <v>78</v>
      </c>
      <c r="C72" s="86">
        <f t="shared" si="0"/>
        <v>100</v>
      </c>
      <c r="D72" s="106">
        <v>3135.5120000000002</v>
      </c>
      <c r="E72" s="106">
        <f t="shared" si="1"/>
        <v>3135.5120000000002</v>
      </c>
      <c r="F72" s="106">
        <v>0</v>
      </c>
      <c r="G72" s="106">
        <v>0</v>
      </c>
      <c r="H72" s="106">
        <v>958.25372000000004</v>
      </c>
      <c r="I72" s="106">
        <f t="shared" si="2"/>
        <v>958.25372000000004</v>
      </c>
      <c r="J72" s="106">
        <v>0</v>
      </c>
      <c r="K72" s="106">
        <f t="shared" si="3"/>
        <v>0</v>
      </c>
      <c r="L72" s="106">
        <v>0</v>
      </c>
      <c r="M72" s="106">
        <v>0</v>
      </c>
      <c r="N72" s="106">
        <f t="shared" si="4"/>
        <v>0</v>
      </c>
      <c r="O72" s="106">
        <v>0</v>
      </c>
      <c r="P72" s="106">
        <f t="shared" si="5"/>
        <v>0</v>
      </c>
      <c r="Q72" s="106">
        <f t="shared" si="6"/>
        <v>4093.7657200000003</v>
      </c>
      <c r="R72" s="106">
        <f t="shared" si="7"/>
        <v>4093.7657200000003</v>
      </c>
      <c r="S72" s="106">
        <f t="shared" si="8"/>
        <v>0</v>
      </c>
    </row>
    <row r="73" spans="1:20" s="84" customFormat="1" ht="30" x14ac:dyDescent="0.25">
      <c r="A73" s="83">
        <v>66</v>
      </c>
      <c r="B73" s="85" t="s">
        <v>79</v>
      </c>
      <c r="C73" s="86">
        <f t="shared" ref="C73:C76" si="9">E73/D73*100</f>
        <v>100</v>
      </c>
      <c r="D73" s="106">
        <v>1083.2</v>
      </c>
      <c r="E73" s="106">
        <f t="shared" ref="E73:E76" si="10">D73</f>
        <v>1083.2</v>
      </c>
      <c r="F73" s="106">
        <v>0</v>
      </c>
      <c r="G73" s="106">
        <v>0</v>
      </c>
      <c r="H73" s="106">
        <v>322.69774000000001</v>
      </c>
      <c r="I73" s="106">
        <f t="shared" ref="I73:I76" si="11">H73</f>
        <v>322.69774000000001</v>
      </c>
      <c r="J73" s="106">
        <v>0</v>
      </c>
      <c r="K73" s="106">
        <f t="shared" ref="K73:K76" si="12">J73</f>
        <v>0</v>
      </c>
      <c r="L73" s="106">
        <v>0</v>
      </c>
      <c r="M73" s="106">
        <v>0</v>
      </c>
      <c r="N73" s="106">
        <f t="shared" ref="N73:N76" si="13">M73</f>
        <v>0</v>
      </c>
      <c r="O73" s="106">
        <v>0</v>
      </c>
      <c r="P73" s="106">
        <f t="shared" ref="P73:P76" si="14">O73</f>
        <v>0</v>
      </c>
      <c r="Q73" s="106">
        <f t="shared" ref="Q73:Q76" si="15">D73+F73+H73+J73+L73+O73</f>
        <v>1405.8977400000001</v>
      </c>
      <c r="R73" s="106">
        <f t="shared" ref="R73:R75" si="16">E73+G73+I73+K73+N73+P73</f>
        <v>1405.8977400000001</v>
      </c>
      <c r="S73" s="106">
        <f t="shared" si="8"/>
        <v>0</v>
      </c>
    </row>
    <row r="74" spans="1:20" s="84" customFormat="1" ht="30" x14ac:dyDescent="0.25">
      <c r="A74" s="83">
        <v>67</v>
      </c>
      <c r="B74" s="85" t="s">
        <v>80</v>
      </c>
      <c r="C74" s="86">
        <f t="shared" si="9"/>
        <v>100</v>
      </c>
      <c r="D74" s="106">
        <v>3602.1129999999998</v>
      </c>
      <c r="E74" s="106">
        <f t="shared" si="10"/>
        <v>3602.1129999999998</v>
      </c>
      <c r="F74" s="106">
        <v>0</v>
      </c>
      <c r="G74" s="106">
        <v>0</v>
      </c>
      <c r="H74" s="106">
        <v>2966.23677</v>
      </c>
      <c r="I74" s="106">
        <f t="shared" si="11"/>
        <v>2966.23677</v>
      </c>
      <c r="J74" s="106">
        <v>0</v>
      </c>
      <c r="K74" s="106">
        <f t="shared" si="12"/>
        <v>0</v>
      </c>
      <c r="L74" s="106">
        <v>0</v>
      </c>
      <c r="M74" s="106">
        <v>0</v>
      </c>
      <c r="N74" s="106">
        <v>0</v>
      </c>
      <c r="O74" s="106">
        <v>0</v>
      </c>
      <c r="P74" s="106">
        <f t="shared" si="14"/>
        <v>0</v>
      </c>
      <c r="Q74" s="106">
        <f>D74+F74+H74+J74+L74+O74</f>
        <v>6568.3497699999998</v>
      </c>
      <c r="R74" s="106">
        <f t="shared" si="16"/>
        <v>6568.3497699999998</v>
      </c>
      <c r="S74" s="106">
        <f>(J74+L74+O74)/Q74</f>
        <v>0</v>
      </c>
    </row>
    <row r="75" spans="1:20" s="84" customFormat="1" ht="30" x14ac:dyDescent="0.25">
      <c r="A75" s="83">
        <v>68</v>
      </c>
      <c r="B75" s="85" t="s">
        <v>81</v>
      </c>
      <c r="C75" s="86">
        <f t="shared" si="9"/>
        <v>100</v>
      </c>
      <c r="D75" s="106">
        <v>2185.8809999999999</v>
      </c>
      <c r="E75" s="106">
        <f t="shared" si="10"/>
        <v>2185.8809999999999</v>
      </c>
      <c r="F75" s="106">
        <v>0</v>
      </c>
      <c r="G75" s="106">
        <v>0</v>
      </c>
      <c r="H75" s="106">
        <v>1416.5089399999999</v>
      </c>
      <c r="I75" s="106">
        <f t="shared" si="11"/>
        <v>1416.5089399999999</v>
      </c>
      <c r="J75" s="106">
        <v>0</v>
      </c>
      <c r="K75" s="106">
        <f t="shared" si="12"/>
        <v>0</v>
      </c>
      <c r="L75" s="106">
        <v>0</v>
      </c>
      <c r="M75" s="106">
        <v>0</v>
      </c>
      <c r="N75" s="106">
        <f t="shared" si="13"/>
        <v>0</v>
      </c>
      <c r="O75" s="106">
        <v>0</v>
      </c>
      <c r="P75" s="106">
        <f t="shared" si="14"/>
        <v>0</v>
      </c>
      <c r="Q75" s="106">
        <f t="shared" si="15"/>
        <v>3602.38994</v>
      </c>
      <c r="R75" s="106">
        <f t="shared" si="16"/>
        <v>3602.38994</v>
      </c>
      <c r="S75" s="106">
        <f>(J75+L75+O75)/Q75</f>
        <v>0</v>
      </c>
    </row>
    <row r="76" spans="1:20" s="84" customFormat="1" ht="15" x14ac:dyDescent="0.25">
      <c r="A76" s="83">
        <v>69</v>
      </c>
      <c r="B76" s="85" t="s">
        <v>82</v>
      </c>
      <c r="C76" s="86">
        <f t="shared" si="9"/>
        <v>100</v>
      </c>
      <c r="D76" s="106">
        <v>1228.7</v>
      </c>
      <c r="E76" s="106">
        <f t="shared" si="10"/>
        <v>1228.7</v>
      </c>
      <c r="F76" s="106">
        <v>0</v>
      </c>
      <c r="G76" s="106">
        <v>0</v>
      </c>
      <c r="H76" s="106">
        <v>468.55072000000001</v>
      </c>
      <c r="I76" s="106">
        <f t="shared" si="11"/>
        <v>468.55072000000001</v>
      </c>
      <c r="J76" s="106">
        <v>0</v>
      </c>
      <c r="K76" s="106">
        <f t="shared" si="12"/>
        <v>0</v>
      </c>
      <c r="L76" s="106">
        <v>0</v>
      </c>
      <c r="M76" s="106">
        <v>0</v>
      </c>
      <c r="N76" s="106">
        <f t="shared" si="13"/>
        <v>0</v>
      </c>
      <c r="O76" s="106">
        <v>0</v>
      </c>
      <c r="P76" s="106">
        <f t="shared" si="14"/>
        <v>0</v>
      </c>
      <c r="Q76" s="106">
        <f t="shared" si="15"/>
        <v>1697.25072</v>
      </c>
      <c r="R76" s="106">
        <f>E76+G76+I76+K76+N76+P76</f>
        <v>1697.25072</v>
      </c>
      <c r="S76" s="106">
        <f t="shared" ref="S76" si="17">(J76+L76+O76)/Q76</f>
        <v>0</v>
      </c>
    </row>
    <row r="77" spans="1:20" ht="57" customHeight="1" x14ac:dyDescent="0.2">
      <c r="A77" s="45">
        <v>70</v>
      </c>
      <c r="B77" s="20" t="s">
        <v>155</v>
      </c>
      <c r="C77" s="46">
        <f>E77/D77*100</f>
        <v>100</v>
      </c>
      <c r="D77" s="39">
        <v>3781</v>
      </c>
      <c r="E77" s="39">
        <v>3781</v>
      </c>
      <c r="F77" s="39">
        <v>0</v>
      </c>
      <c r="G77" s="39">
        <v>0</v>
      </c>
      <c r="H77" s="82">
        <v>1202.537</v>
      </c>
      <c r="I77" s="82">
        <v>1202.537</v>
      </c>
      <c r="J77" s="102">
        <v>0</v>
      </c>
      <c r="K77" s="102">
        <v>0</v>
      </c>
      <c r="L77" s="102">
        <v>0</v>
      </c>
      <c r="M77" s="102">
        <v>0</v>
      </c>
      <c r="N77" s="102">
        <v>0</v>
      </c>
      <c r="O77" s="39">
        <v>0</v>
      </c>
      <c r="P77" s="39">
        <v>0</v>
      </c>
      <c r="Q77" s="53">
        <f t="shared" ref="Q77" si="18">D77+F77+H77+J77+L77+O77</f>
        <v>4983.5370000000003</v>
      </c>
      <c r="R77" s="39">
        <f>E77+I77</f>
        <v>4983.5370000000003</v>
      </c>
      <c r="S77" s="61">
        <f>(J77+L77+O77)/Q77</f>
        <v>0</v>
      </c>
      <c r="T77" s="47"/>
    </row>
    <row r="78" spans="1:20" ht="57" customHeight="1" x14ac:dyDescent="0.2">
      <c r="A78" s="45">
        <v>71</v>
      </c>
      <c r="B78" s="20" t="s">
        <v>156</v>
      </c>
      <c r="C78" s="46">
        <f t="shared" ref="C78:C81" si="19">E78/D78*100</f>
        <v>98.974637449690164</v>
      </c>
      <c r="D78" s="48">
        <v>3130.6</v>
      </c>
      <c r="E78" s="48">
        <v>3098.5</v>
      </c>
      <c r="F78" s="48">
        <v>0</v>
      </c>
      <c r="G78" s="48">
        <v>0</v>
      </c>
      <c r="H78" s="82">
        <v>526.6</v>
      </c>
      <c r="I78" s="82">
        <v>526.6</v>
      </c>
      <c r="J78" s="102">
        <v>0</v>
      </c>
      <c r="K78" s="102">
        <v>0</v>
      </c>
      <c r="L78" s="102">
        <v>0</v>
      </c>
      <c r="M78" s="102">
        <v>0</v>
      </c>
      <c r="N78" s="102">
        <v>0</v>
      </c>
      <c r="O78" s="76">
        <v>329.7</v>
      </c>
      <c r="P78" s="82">
        <v>329.7</v>
      </c>
      <c r="Q78" s="67">
        <f>D78+F78+H78+J78+L78+O78</f>
        <v>3986.8999999999996</v>
      </c>
      <c r="R78" s="76">
        <f>P78+I78+E78</f>
        <v>3954.8</v>
      </c>
      <c r="S78" s="61">
        <f t="shared" ref="S78:S81" si="20">(J78+L78+O78)/Q78</f>
        <v>8.2695828839449204E-2</v>
      </c>
      <c r="T78" s="47"/>
    </row>
    <row r="79" spans="1:20" ht="57" customHeight="1" x14ac:dyDescent="0.2">
      <c r="A79" s="45">
        <v>72</v>
      </c>
      <c r="B79" s="20" t="s">
        <v>157</v>
      </c>
      <c r="C79" s="46">
        <f t="shared" si="19"/>
        <v>98.269847914050516</v>
      </c>
      <c r="D79" s="39">
        <v>3583.5</v>
      </c>
      <c r="E79" s="39">
        <v>3521.5</v>
      </c>
      <c r="F79" s="39">
        <v>0</v>
      </c>
      <c r="G79" s="39">
        <v>0</v>
      </c>
      <c r="H79" s="82">
        <v>928.5</v>
      </c>
      <c r="I79" s="82">
        <v>915.1</v>
      </c>
      <c r="J79" s="102">
        <v>0</v>
      </c>
      <c r="K79" s="102">
        <v>0</v>
      </c>
      <c r="L79" s="103">
        <v>173.2</v>
      </c>
      <c r="M79" s="102">
        <v>0</v>
      </c>
      <c r="N79" s="102">
        <v>173.2</v>
      </c>
      <c r="O79" s="39">
        <v>0</v>
      </c>
      <c r="P79" s="39">
        <v>0</v>
      </c>
      <c r="Q79" s="53">
        <f>D79+F79+H79+J79+L79+O79</f>
        <v>4685.2</v>
      </c>
      <c r="R79" s="48">
        <f t="shared" ref="R79:R81" si="21">P79+I79+E79</f>
        <v>4436.6000000000004</v>
      </c>
      <c r="S79" s="61">
        <f t="shared" si="20"/>
        <v>3.6967472039614105E-2</v>
      </c>
      <c r="T79" s="47"/>
    </row>
    <row r="80" spans="1:20" ht="57" customHeight="1" x14ac:dyDescent="0.2">
      <c r="A80" s="45">
        <v>73</v>
      </c>
      <c r="B80" s="20" t="s">
        <v>158</v>
      </c>
      <c r="C80" s="46">
        <f t="shared" si="19"/>
        <v>100</v>
      </c>
      <c r="D80" s="39">
        <v>4165.1000000000004</v>
      </c>
      <c r="E80" s="39">
        <v>4165.1000000000004</v>
      </c>
      <c r="F80" s="39">
        <v>0</v>
      </c>
      <c r="G80" s="39">
        <v>0</v>
      </c>
      <c r="H80" s="82">
        <v>705.4</v>
      </c>
      <c r="I80" s="82">
        <v>705.4</v>
      </c>
      <c r="J80" s="102">
        <v>0</v>
      </c>
      <c r="K80" s="102">
        <v>0</v>
      </c>
      <c r="L80" s="102">
        <v>0</v>
      </c>
      <c r="M80" s="102">
        <v>0</v>
      </c>
      <c r="N80" s="102">
        <v>0</v>
      </c>
      <c r="O80" s="39">
        <v>333</v>
      </c>
      <c r="P80" s="39">
        <v>272.39999999999998</v>
      </c>
      <c r="Q80" s="53">
        <f t="shared" ref="Q80:Q81" si="22">D80+F80+H80+J80+L80+O80</f>
        <v>5203.5</v>
      </c>
      <c r="R80" s="48">
        <f t="shared" si="21"/>
        <v>5142.9000000000005</v>
      </c>
      <c r="S80" s="61">
        <f t="shared" si="20"/>
        <v>6.3995387719803981E-2</v>
      </c>
      <c r="T80" s="47"/>
    </row>
    <row r="81" spans="1:20" ht="57" customHeight="1" x14ac:dyDescent="0.2">
      <c r="A81" s="45">
        <v>74</v>
      </c>
      <c r="B81" s="20" t="s">
        <v>159</v>
      </c>
      <c r="C81" s="46">
        <f t="shared" si="19"/>
        <v>98.948946447905385</v>
      </c>
      <c r="D81" s="48">
        <v>6003.5</v>
      </c>
      <c r="E81" s="48">
        <v>5940.4</v>
      </c>
      <c r="F81" s="48">
        <v>0</v>
      </c>
      <c r="G81" s="48">
        <v>0</v>
      </c>
      <c r="H81" s="82">
        <v>1139.5</v>
      </c>
      <c r="I81" s="82">
        <v>1139.5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48">
        <v>289.8</v>
      </c>
      <c r="P81" s="48">
        <v>289.8</v>
      </c>
      <c r="Q81" s="53">
        <f t="shared" si="22"/>
        <v>7432.8</v>
      </c>
      <c r="R81" s="48">
        <f t="shared" si="21"/>
        <v>7369.7</v>
      </c>
      <c r="S81" s="61">
        <f t="shared" si="20"/>
        <v>3.8989344526961574E-2</v>
      </c>
    </row>
    <row r="82" spans="1:20" x14ac:dyDescent="0.2">
      <c r="A82" s="45">
        <v>75</v>
      </c>
      <c r="B82" s="7" t="s">
        <v>163</v>
      </c>
      <c r="C82" s="46">
        <v>100</v>
      </c>
      <c r="D82" s="39">
        <v>920</v>
      </c>
      <c r="E82" s="39">
        <v>920</v>
      </c>
      <c r="F82" s="39">
        <v>6900</v>
      </c>
      <c r="G82" s="39">
        <v>6900</v>
      </c>
      <c r="H82" s="102">
        <v>578.72625000000005</v>
      </c>
      <c r="I82" s="102">
        <v>578.72625000000005</v>
      </c>
      <c r="J82" s="102">
        <v>120.5</v>
      </c>
      <c r="K82" s="102">
        <v>120.5</v>
      </c>
      <c r="L82" s="102">
        <v>0</v>
      </c>
      <c r="M82" s="102">
        <v>0</v>
      </c>
      <c r="N82" s="102">
        <v>0</v>
      </c>
      <c r="O82" s="39">
        <v>170</v>
      </c>
      <c r="P82" s="39">
        <v>170</v>
      </c>
      <c r="Q82" s="53">
        <f>D82+F82+H82+J82+L82+O82</f>
        <v>8689.2262499999997</v>
      </c>
      <c r="R82" s="53">
        <f>E82+G82+I82+K82+N82+P82</f>
        <v>8689.2262499999997</v>
      </c>
      <c r="S82" s="39">
        <f t="shared" ref="S82:S85" si="23">(J82+L82)/Q82</f>
        <v>1.3867748005755978E-2</v>
      </c>
      <c r="T82" s="47"/>
    </row>
    <row r="83" spans="1:20" ht="25.5" x14ac:dyDescent="0.2">
      <c r="A83" s="45">
        <v>76</v>
      </c>
      <c r="B83" s="7" t="s">
        <v>169</v>
      </c>
      <c r="C83" s="46"/>
      <c r="D83" s="39">
        <v>14676.7</v>
      </c>
      <c r="E83" s="39">
        <v>14676.7</v>
      </c>
      <c r="F83" s="39">
        <v>0</v>
      </c>
      <c r="G83" s="39">
        <v>0</v>
      </c>
      <c r="H83" s="102">
        <v>13551.8</v>
      </c>
      <c r="I83" s="102">
        <v>13551.8</v>
      </c>
      <c r="J83" s="102">
        <v>0</v>
      </c>
      <c r="K83" s="102">
        <v>0</v>
      </c>
      <c r="L83" s="102">
        <v>3303.1</v>
      </c>
      <c r="M83" s="102">
        <v>408.1</v>
      </c>
      <c r="N83" s="102">
        <v>3303.1</v>
      </c>
      <c r="O83" s="75">
        <v>158129</v>
      </c>
      <c r="P83" s="75">
        <v>150241.5</v>
      </c>
      <c r="Q83" s="53">
        <f>D83+F83+H83+J83+L83+O83</f>
        <v>189660.6</v>
      </c>
      <c r="R83" s="53">
        <f>E83+G83+I83+K83+N83+P83</f>
        <v>181773.1</v>
      </c>
      <c r="S83" s="39">
        <f t="shared" si="23"/>
        <v>1.7415847044668212E-2</v>
      </c>
      <c r="T83" s="47"/>
    </row>
    <row r="84" spans="1:20" ht="25.5" customHeight="1" x14ac:dyDescent="0.2">
      <c r="A84" s="45">
        <v>77</v>
      </c>
      <c r="B84" s="58" t="s">
        <v>171</v>
      </c>
      <c r="C84" s="46"/>
      <c r="D84" s="53">
        <v>3778</v>
      </c>
      <c r="E84" s="67">
        <v>3778</v>
      </c>
      <c r="F84" s="67">
        <v>0</v>
      </c>
      <c r="G84" s="67">
        <v>0</v>
      </c>
      <c r="H84" s="115">
        <v>288</v>
      </c>
      <c r="I84" s="115">
        <v>288</v>
      </c>
      <c r="J84" s="115">
        <v>0</v>
      </c>
      <c r="K84" s="115">
        <v>0</v>
      </c>
      <c r="L84" s="115">
        <v>906</v>
      </c>
      <c r="M84" s="115">
        <v>146.4</v>
      </c>
      <c r="N84" s="115">
        <v>906</v>
      </c>
      <c r="O84" s="67">
        <v>25890.400000000001</v>
      </c>
      <c r="P84" s="67">
        <v>20474.2</v>
      </c>
      <c r="Q84" s="53">
        <v>31602</v>
      </c>
      <c r="R84" s="53">
        <f>E84+G84+I84+K84+N84+P84</f>
        <v>25446.2</v>
      </c>
      <c r="S84" s="39">
        <f t="shared" si="23"/>
        <v>2.8669071577748242E-2</v>
      </c>
      <c r="T84" s="47"/>
    </row>
    <row r="85" spans="1:20" ht="25.5" customHeight="1" x14ac:dyDescent="0.2">
      <c r="A85" s="45">
        <v>78</v>
      </c>
      <c r="B85" s="58" t="s">
        <v>173</v>
      </c>
      <c r="C85" s="46"/>
      <c r="D85" s="53">
        <v>4721</v>
      </c>
      <c r="E85" s="53">
        <v>4721</v>
      </c>
      <c r="F85" s="53">
        <v>0</v>
      </c>
      <c r="G85" s="53">
        <v>0</v>
      </c>
      <c r="H85" s="107">
        <v>1213.19</v>
      </c>
      <c r="I85" s="107">
        <v>1213.19</v>
      </c>
      <c r="J85" s="107">
        <v>0</v>
      </c>
      <c r="K85" s="107">
        <v>0</v>
      </c>
      <c r="L85" s="107">
        <v>1526.44</v>
      </c>
      <c r="M85" s="107">
        <v>1026</v>
      </c>
      <c r="N85" s="107">
        <v>1397.6</v>
      </c>
      <c r="O85" s="67">
        <v>72896</v>
      </c>
      <c r="P85" s="67">
        <v>68436.600000000006</v>
      </c>
      <c r="Q85" s="53">
        <f>D85+F85+H85+J85+L85+O85</f>
        <v>80356.63</v>
      </c>
      <c r="R85" s="53">
        <f>E85+G85+I85+K85+N85+P85</f>
        <v>75768.390000000014</v>
      </c>
      <c r="S85" s="39">
        <f t="shared" si="23"/>
        <v>1.8995819013316012E-2</v>
      </c>
      <c r="T85" s="47"/>
    </row>
    <row r="86" spans="1:20" ht="39.75" customHeight="1" x14ac:dyDescent="0.2">
      <c r="A86" s="45">
        <v>79</v>
      </c>
      <c r="B86" s="7" t="s">
        <v>165</v>
      </c>
      <c r="C86" s="46"/>
      <c r="D86" s="39">
        <v>21915.5</v>
      </c>
      <c r="E86" s="39">
        <v>21915.5</v>
      </c>
      <c r="F86" s="39">
        <v>0</v>
      </c>
      <c r="G86" s="39">
        <v>0</v>
      </c>
      <c r="H86" s="107">
        <v>23843.5</v>
      </c>
      <c r="I86" s="107">
        <v>23640.7</v>
      </c>
      <c r="J86" s="102">
        <v>0</v>
      </c>
      <c r="K86" s="102">
        <v>0</v>
      </c>
      <c r="L86" s="107">
        <v>1344.6</v>
      </c>
      <c r="M86" s="107">
        <v>926.5</v>
      </c>
      <c r="N86" s="107">
        <v>1344.6</v>
      </c>
      <c r="O86" s="67">
        <v>243608.3</v>
      </c>
      <c r="P86" s="67">
        <v>234334.4</v>
      </c>
      <c r="Q86" s="53">
        <f>D86+F86+H86+J86+L86+O86</f>
        <v>290711.89999999997</v>
      </c>
      <c r="R86" s="53">
        <f>E86+G86+I86+K86+N86+P86</f>
        <v>281235.20000000001</v>
      </c>
      <c r="S86" s="39">
        <f>(J86+L86)/Q86</f>
        <v>4.6251976613272457E-3</v>
      </c>
      <c r="T86" s="47"/>
    </row>
    <row r="87" spans="1:20" s="52" customFormat="1" x14ac:dyDescent="0.2">
      <c r="A87" s="49"/>
      <c r="B87" s="50" t="s">
        <v>164</v>
      </c>
      <c r="C87" s="50"/>
      <c r="D87" s="62">
        <f t="shared" ref="D87:R87" si="24">SUM(D8:D86)</f>
        <v>709193.05199999991</v>
      </c>
      <c r="E87" s="62">
        <f t="shared" si="24"/>
        <v>709035.85199999996</v>
      </c>
      <c r="F87" s="62">
        <f t="shared" si="24"/>
        <v>88900</v>
      </c>
      <c r="G87" s="62">
        <f t="shared" si="24"/>
        <v>88900</v>
      </c>
      <c r="H87" s="109">
        <f t="shared" si="24"/>
        <v>461712.97812999994</v>
      </c>
      <c r="I87" s="109">
        <f t="shared" si="24"/>
        <v>461496.77812999993</v>
      </c>
      <c r="J87" s="109">
        <f t="shared" si="24"/>
        <v>25969.408179999999</v>
      </c>
      <c r="K87" s="109">
        <f t="shared" si="24"/>
        <v>25969.408179999999</v>
      </c>
      <c r="L87" s="108">
        <f t="shared" si="24"/>
        <v>7303.6185700000005</v>
      </c>
      <c r="M87" s="108">
        <f t="shared" si="24"/>
        <v>2557.2785699999999</v>
      </c>
      <c r="N87" s="109">
        <f>SUM(N8:N86)</f>
        <v>7174.7785700000004</v>
      </c>
      <c r="O87" s="62">
        <f>SUM(O8:O86)</f>
        <v>502609.70123999997</v>
      </c>
      <c r="P87" s="62">
        <f t="shared" si="24"/>
        <v>475512.10123999999</v>
      </c>
      <c r="Q87" s="62">
        <f t="shared" si="24"/>
        <v>1796428.3581199986</v>
      </c>
      <c r="R87" s="62">
        <f t="shared" si="24"/>
        <v>1767915.7181199987</v>
      </c>
      <c r="S87" s="63">
        <f>(J87+L87)/Q87</f>
        <v>1.8521766592919379E-2</v>
      </c>
      <c r="T87" s="51"/>
    </row>
    <row r="88" spans="1:20" x14ac:dyDescent="0.2">
      <c r="B88" s="38"/>
      <c r="C88" s="38"/>
    </row>
    <row r="89" spans="1:20" x14ac:dyDescent="0.2">
      <c r="B89" s="38"/>
      <c r="C89" s="38"/>
      <c r="N89" s="38"/>
      <c r="P89" s="42"/>
      <c r="R89" s="38"/>
    </row>
    <row r="90" spans="1:20" x14ac:dyDescent="0.2">
      <c r="A90" s="38"/>
      <c r="B90" s="38"/>
      <c r="C90" s="38"/>
      <c r="H90" s="38"/>
      <c r="I90" s="38"/>
      <c r="J90" s="38"/>
      <c r="K90" s="38"/>
      <c r="L90" s="38"/>
      <c r="M90" s="38"/>
      <c r="N90" s="38"/>
      <c r="R90" s="38"/>
    </row>
    <row r="91" spans="1:20" x14ac:dyDescent="0.2">
      <c r="A91" s="38"/>
      <c r="B91" s="38"/>
      <c r="C91" s="38"/>
      <c r="H91" s="38"/>
      <c r="I91" s="38"/>
      <c r="J91" s="38"/>
      <c r="K91" s="38"/>
      <c r="L91" s="38"/>
      <c r="M91" s="38"/>
      <c r="N91" s="38"/>
      <c r="R91" s="38"/>
    </row>
    <row r="92" spans="1:20" x14ac:dyDescent="0.2">
      <c r="A92" s="38"/>
      <c r="B92" s="38"/>
      <c r="C92" s="38"/>
      <c r="H92" s="38"/>
      <c r="I92" s="38"/>
      <c r="J92" s="38"/>
      <c r="K92" s="38"/>
      <c r="L92" s="38"/>
      <c r="M92" s="38"/>
      <c r="N92" s="38"/>
      <c r="R92" s="38"/>
    </row>
    <row r="93" spans="1:20" x14ac:dyDescent="0.2">
      <c r="A93" s="38"/>
      <c r="B93" s="38"/>
      <c r="C93" s="38"/>
      <c r="R93" s="38"/>
    </row>
    <row r="94" spans="1:20" x14ac:dyDescent="0.2">
      <c r="A94" s="38"/>
      <c r="B94" s="38"/>
      <c r="C94" s="38"/>
      <c r="R94" s="38"/>
    </row>
    <row r="95" spans="1:20" x14ac:dyDescent="0.2">
      <c r="A95" s="38"/>
      <c r="B95" s="38"/>
      <c r="C95" s="38"/>
      <c r="R95" s="38"/>
    </row>
    <row r="96" spans="1:20" x14ac:dyDescent="0.2">
      <c r="A96" s="38"/>
      <c r="B96" s="38"/>
      <c r="C96" s="38"/>
      <c r="R96" s="38"/>
    </row>
    <row r="97" spans="1:18" x14ac:dyDescent="0.2">
      <c r="A97" s="38"/>
      <c r="B97" s="38"/>
      <c r="C97" s="38"/>
      <c r="R97" s="38"/>
    </row>
    <row r="98" spans="1:18" x14ac:dyDescent="0.2">
      <c r="A98" s="38"/>
      <c r="B98" s="38"/>
      <c r="C98" s="38"/>
      <c r="R98" s="38"/>
    </row>
    <row r="99" spans="1:18" x14ac:dyDescent="0.2">
      <c r="A99" s="38"/>
      <c r="B99" s="38"/>
      <c r="C99" s="38"/>
      <c r="R99" s="38"/>
    </row>
    <row r="100" spans="1:18" x14ac:dyDescent="0.2">
      <c r="A100" s="38"/>
      <c r="B100" s="38"/>
      <c r="C100" s="38"/>
      <c r="R100" s="38"/>
    </row>
    <row r="101" spans="1:18" x14ac:dyDescent="0.2">
      <c r="A101" s="38"/>
      <c r="B101" s="38"/>
      <c r="C101" s="38"/>
      <c r="R101" s="38"/>
    </row>
    <row r="102" spans="1:18" x14ac:dyDescent="0.2">
      <c r="A102" s="38"/>
      <c r="B102" s="38"/>
      <c r="C102" s="38"/>
      <c r="R102" s="38"/>
    </row>
    <row r="103" spans="1:18" x14ac:dyDescent="0.2">
      <c r="A103" s="38"/>
      <c r="B103" s="38"/>
      <c r="C103" s="38"/>
      <c r="R103" s="38"/>
    </row>
    <row r="104" spans="1:18" x14ac:dyDescent="0.2">
      <c r="A104" s="38"/>
      <c r="B104" s="38"/>
      <c r="C104" s="38"/>
      <c r="R104" s="38"/>
    </row>
    <row r="105" spans="1:18" x14ac:dyDescent="0.2">
      <c r="A105" s="38"/>
      <c r="B105" s="38"/>
      <c r="C105" s="38"/>
      <c r="R105" s="38"/>
    </row>
    <row r="106" spans="1:18" x14ac:dyDescent="0.2">
      <c r="A106" s="38"/>
      <c r="B106" s="38"/>
      <c r="C106" s="38"/>
      <c r="R106" s="38"/>
    </row>
    <row r="107" spans="1:18" x14ac:dyDescent="0.2">
      <c r="A107" s="38"/>
      <c r="B107" s="38"/>
      <c r="C107" s="38"/>
      <c r="R107" s="38"/>
    </row>
    <row r="108" spans="1:18" x14ac:dyDescent="0.2">
      <c r="A108" s="38"/>
      <c r="B108" s="38"/>
      <c r="C108" s="38"/>
      <c r="R108" s="38"/>
    </row>
    <row r="109" spans="1:18" x14ac:dyDescent="0.2">
      <c r="A109" s="38"/>
      <c r="B109" s="38"/>
      <c r="C109" s="38"/>
      <c r="R109" s="38"/>
    </row>
    <row r="110" spans="1:18" x14ac:dyDescent="0.2">
      <c r="A110" s="38"/>
      <c r="B110" s="38"/>
      <c r="C110" s="38"/>
      <c r="R110" s="38"/>
    </row>
    <row r="111" spans="1:18" x14ac:dyDescent="0.2">
      <c r="A111" s="38"/>
      <c r="B111" s="38"/>
      <c r="C111" s="38"/>
      <c r="R111" s="38"/>
    </row>
    <row r="112" spans="1:18" x14ac:dyDescent="0.2">
      <c r="A112" s="38"/>
      <c r="B112" s="38"/>
      <c r="C112" s="38"/>
      <c r="R112" s="38"/>
    </row>
    <row r="113" spans="1:18" x14ac:dyDescent="0.2">
      <c r="A113" s="38"/>
      <c r="B113" s="38"/>
      <c r="C113" s="38"/>
      <c r="R113" s="38"/>
    </row>
    <row r="114" spans="1:18" x14ac:dyDescent="0.2">
      <c r="A114" s="38"/>
      <c r="B114" s="38"/>
      <c r="C114" s="38"/>
      <c r="R114" s="38"/>
    </row>
    <row r="115" spans="1:18" x14ac:dyDescent="0.2">
      <c r="A115" s="38"/>
      <c r="B115" s="38"/>
      <c r="C115" s="38"/>
      <c r="R115" s="38"/>
    </row>
    <row r="116" spans="1:18" x14ac:dyDescent="0.2">
      <c r="A116" s="38"/>
      <c r="B116" s="38"/>
      <c r="C116" s="38"/>
      <c r="R116" s="38"/>
    </row>
    <row r="117" spans="1:18" x14ac:dyDescent="0.2">
      <c r="A117" s="38"/>
      <c r="B117" s="38"/>
      <c r="C117" s="38"/>
      <c r="R117" s="38"/>
    </row>
    <row r="118" spans="1:18" x14ac:dyDescent="0.2">
      <c r="A118" s="38"/>
      <c r="B118" s="38"/>
      <c r="C118" s="38"/>
      <c r="R118" s="38"/>
    </row>
    <row r="119" spans="1:18" x14ac:dyDescent="0.2">
      <c r="A119" s="38"/>
      <c r="B119" s="38"/>
      <c r="C119" s="38"/>
      <c r="R119" s="38"/>
    </row>
    <row r="120" spans="1:18" x14ac:dyDescent="0.2">
      <c r="A120" s="38"/>
      <c r="B120" s="38"/>
      <c r="C120" s="38"/>
      <c r="R120" s="38"/>
    </row>
    <row r="121" spans="1:18" x14ac:dyDescent="0.2">
      <c r="A121" s="38"/>
      <c r="B121" s="38"/>
      <c r="C121" s="38"/>
      <c r="R121" s="38"/>
    </row>
    <row r="122" spans="1:18" x14ac:dyDescent="0.2">
      <c r="A122" s="38"/>
      <c r="B122" s="38"/>
      <c r="C122" s="38"/>
      <c r="R122" s="38"/>
    </row>
    <row r="123" spans="1:18" x14ac:dyDescent="0.2">
      <c r="A123" s="38"/>
      <c r="B123" s="38"/>
      <c r="C123" s="38"/>
      <c r="R123" s="38"/>
    </row>
    <row r="124" spans="1:18" x14ac:dyDescent="0.2">
      <c r="A124" s="38"/>
      <c r="B124" s="38"/>
      <c r="C124" s="38"/>
      <c r="R124" s="38"/>
    </row>
    <row r="125" spans="1:18" x14ac:dyDescent="0.2">
      <c r="A125" s="38"/>
      <c r="B125" s="38"/>
      <c r="C125" s="38"/>
      <c r="R125" s="38"/>
    </row>
    <row r="126" spans="1:18" x14ac:dyDescent="0.2">
      <c r="A126" s="38"/>
      <c r="B126" s="38"/>
      <c r="C126" s="38"/>
      <c r="R126" s="38"/>
    </row>
    <row r="127" spans="1:18" x14ac:dyDescent="0.2">
      <c r="A127" s="38"/>
      <c r="B127" s="38"/>
      <c r="C127" s="38"/>
      <c r="R127" s="38"/>
    </row>
    <row r="128" spans="1:18" x14ac:dyDescent="0.2">
      <c r="A128" s="38"/>
      <c r="B128" s="38"/>
      <c r="C128" s="38"/>
      <c r="R128" s="38"/>
    </row>
    <row r="129" spans="1:18" x14ac:dyDescent="0.2">
      <c r="A129" s="38"/>
      <c r="B129" s="38"/>
      <c r="C129" s="38"/>
      <c r="R129" s="38"/>
    </row>
    <row r="130" spans="1:18" x14ac:dyDescent="0.2">
      <c r="A130" s="38"/>
      <c r="B130" s="38"/>
      <c r="C130" s="38"/>
      <c r="R130" s="38"/>
    </row>
    <row r="131" spans="1:18" x14ac:dyDescent="0.2">
      <c r="A131" s="38"/>
      <c r="B131" s="38"/>
      <c r="C131" s="38"/>
      <c r="R131" s="38"/>
    </row>
    <row r="132" spans="1:18" x14ac:dyDescent="0.2">
      <c r="A132" s="38"/>
      <c r="B132" s="38"/>
      <c r="C132" s="38"/>
      <c r="R132" s="38"/>
    </row>
    <row r="133" spans="1:18" x14ac:dyDescent="0.2">
      <c r="A133" s="38"/>
      <c r="B133" s="38"/>
      <c r="C133" s="38"/>
      <c r="R133" s="38"/>
    </row>
    <row r="134" spans="1:18" x14ac:dyDescent="0.2">
      <c r="A134" s="38"/>
      <c r="B134" s="38"/>
      <c r="C134" s="38"/>
      <c r="R134" s="38"/>
    </row>
    <row r="135" spans="1:18" x14ac:dyDescent="0.2">
      <c r="A135" s="38"/>
      <c r="B135" s="38"/>
      <c r="C135" s="38"/>
      <c r="R135" s="38"/>
    </row>
    <row r="136" spans="1:18" x14ac:dyDescent="0.2">
      <c r="A136" s="38"/>
      <c r="B136" s="38"/>
      <c r="C136" s="38"/>
      <c r="R136" s="38"/>
    </row>
    <row r="137" spans="1:18" x14ac:dyDescent="0.2">
      <c r="A137" s="38"/>
      <c r="B137" s="38"/>
      <c r="C137" s="38"/>
      <c r="R137" s="38"/>
    </row>
    <row r="138" spans="1:18" x14ac:dyDescent="0.2">
      <c r="A138" s="38"/>
      <c r="B138" s="38"/>
      <c r="C138" s="38"/>
      <c r="R138" s="38"/>
    </row>
    <row r="139" spans="1:18" x14ac:dyDescent="0.2">
      <c r="A139" s="38"/>
      <c r="B139" s="38"/>
      <c r="C139" s="38"/>
      <c r="R139" s="38"/>
    </row>
    <row r="140" spans="1:18" x14ac:dyDescent="0.2">
      <c r="A140" s="38"/>
      <c r="B140" s="38"/>
      <c r="C140" s="38"/>
      <c r="R140" s="38"/>
    </row>
    <row r="141" spans="1:18" x14ac:dyDescent="0.2">
      <c r="A141" s="38"/>
      <c r="B141" s="38"/>
      <c r="C141" s="38"/>
      <c r="R141" s="38"/>
    </row>
    <row r="142" spans="1:18" x14ac:dyDescent="0.2">
      <c r="A142" s="38"/>
      <c r="B142" s="38"/>
      <c r="C142" s="38"/>
      <c r="R142" s="38"/>
    </row>
    <row r="143" spans="1:18" x14ac:dyDescent="0.2">
      <c r="A143" s="38"/>
      <c r="B143" s="38"/>
      <c r="C143" s="38"/>
      <c r="R143" s="38"/>
    </row>
    <row r="144" spans="1:18" x14ac:dyDescent="0.2">
      <c r="A144" s="38"/>
      <c r="B144" s="38"/>
      <c r="C144" s="38"/>
      <c r="R144" s="38"/>
    </row>
    <row r="145" spans="1:18" x14ac:dyDescent="0.2">
      <c r="A145" s="38"/>
      <c r="B145" s="38"/>
      <c r="C145" s="38"/>
      <c r="R145" s="38"/>
    </row>
    <row r="146" spans="1:18" x14ac:dyDescent="0.2">
      <c r="A146" s="38"/>
      <c r="B146" s="38"/>
      <c r="C146" s="38"/>
      <c r="R146" s="38"/>
    </row>
    <row r="147" spans="1:18" x14ac:dyDescent="0.2">
      <c r="A147" s="38"/>
      <c r="B147" s="38"/>
      <c r="C147" s="38"/>
      <c r="R147" s="38"/>
    </row>
    <row r="148" spans="1:18" x14ac:dyDescent="0.2">
      <c r="A148" s="38"/>
      <c r="B148" s="38"/>
      <c r="C148" s="38"/>
      <c r="R148" s="38"/>
    </row>
    <row r="149" spans="1:18" x14ac:dyDescent="0.2">
      <c r="A149" s="38"/>
      <c r="B149" s="38"/>
      <c r="C149" s="38"/>
      <c r="R149" s="38"/>
    </row>
    <row r="150" spans="1:18" x14ac:dyDescent="0.2">
      <c r="A150" s="38"/>
      <c r="B150" s="38"/>
      <c r="C150" s="38"/>
      <c r="R150" s="38"/>
    </row>
    <row r="151" spans="1:18" x14ac:dyDescent="0.2">
      <c r="A151" s="38"/>
      <c r="B151" s="38"/>
      <c r="C151" s="38"/>
      <c r="R151" s="38"/>
    </row>
    <row r="152" spans="1:18" x14ac:dyDescent="0.2">
      <c r="A152" s="38"/>
      <c r="B152" s="38"/>
      <c r="C152" s="38"/>
      <c r="R152" s="38"/>
    </row>
    <row r="153" spans="1:18" x14ac:dyDescent="0.2">
      <c r="A153" s="38"/>
      <c r="B153" s="38"/>
      <c r="C153" s="38"/>
      <c r="R153" s="38"/>
    </row>
    <row r="154" spans="1:18" x14ac:dyDescent="0.2">
      <c r="A154" s="38"/>
      <c r="B154" s="38"/>
      <c r="C154" s="38"/>
      <c r="R154" s="38"/>
    </row>
    <row r="155" spans="1:18" x14ac:dyDescent="0.2">
      <c r="A155" s="38"/>
      <c r="B155" s="38"/>
      <c r="C155" s="38"/>
      <c r="R155" s="38"/>
    </row>
    <row r="156" spans="1:18" x14ac:dyDescent="0.2">
      <c r="A156" s="38"/>
      <c r="B156" s="38"/>
      <c r="C156" s="38"/>
      <c r="R156" s="38"/>
    </row>
    <row r="157" spans="1:18" x14ac:dyDescent="0.2">
      <c r="A157" s="38"/>
      <c r="B157" s="38"/>
      <c r="C157" s="38"/>
      <c r="R157" s="38"/>
    </row>
    <row r="158" spans="1:18" x14ac:dyDescent="0.2">
      <c r="A158" s="38"/>
      <c r="B158" s="38"/>
      <c r="C158" s="38"/>
      <c r="R158" s="38"/>
    </row>
    <row r="159" spans="1:18" x14ac:dyDescent="0.2">
      <c r="A159" s="38"/>
      <c r="B159" s="38"/>
      <c r="C159" s="38"/>
      <c r="R159" s="38"/>
    </row>
    <row r="160" spans="1:18" x14ac:dyDescent="0.2">
      <c r="A160" s="38"/>
      <c r="B160" s="38"/>
      <c r="C160" s="38"/>
      <c r="R160" s="38"/>
    </row>
    <row r="161" spans="1:18" x14ac:dyDescent="0.2">
      <c r="A161" s="38"/>
      <c r="B161" s="38"/>
      <c r="C161" s="38"/>
      <c r="R161" s="38"/>
    </row>
    <row r="162" spans="1:18" x14ac:dyDescent="0.2">
      <c r="A162" s="38"/>
      <c r="B162" s="38"/>
      <c r="C162" s="38"/>
      <c r="R162" s="38"/>
    </row>
    <row r="163" spans="1:18" x14ac:dyDescent="0.2">
      <c r="A163" s="38"/>
      <c r="B163" s="38"/>
      <c r="C163" s="38"/>
      <c r="R163" s="38"/>
    </row>
    <row r="164" spans="1:18" x14ac:dyDescent="0.2">
      <c r="A164" s="38"/>
      <c r="B164" s="38"/>
      <c r="C164" s="38"/>
      <c r="R164" s="38"/>
    </row>
    <row r="165" spans="1:18" x14ac:dyDescent="0.2">
      <c r="A165" s="38"/>
      <c r="B165" s="38"/>
      <c r="C165" s="38"/>
      <c r="R165" s="38"/>
    </row>
    <row r="166" spans="1:18" x14ac:dyDescent="0.2">
      <c r="A166" s="38"/>
      <c r="B166" s="38"/>
      <c r="C166" s="38"/>
      <c r="R166" s="38"/>
    </row>
    <row r="167" spans="1:18" x14ac:dyDescent="0.2">
      <c r="A167" s="38"/>
      <c r="B167" s="38"/>
      <c r="C167" s="38"/>
      <c r="R167" s="38"/>
    </row>
    <row r="168" spans="1:18" x14ac:dyDescent="0.2">
      <c r="A168" s="38"/>
      <c r="B168" s="38"/>
      <c r="C168" s="38"/>
      <c r="R168" s="38"/>
    </row>
    <row r="169" spans="1:18" x14ac:dyDescent="0.2">
      <c r="A169" s="38"/>
      <c r="B169" s="38"/>
      <c r="C169" s="38"/>
      <c r="R169" s="38"/>
    </row>
    <row r="170" spans="1:18" x14ac:dyDescent="0.2">
      <c r="A170" s="38"/>
      <c r="B170" s="38"/>
      <c r="C170" s="38"/>
      <c r="R170" s="38"/>
    </row>
    <row r="171" spans="1:18" x14ac:dyDescent="0.2">
      <c r="A171" s="38"/>
      <c r="B171" s="38"/>
      <c r="C171" s="38"/>
      <c r="R171" s="38"/>
    </row>
    <row r="172" spans="1:18" x14ac:dyDescent="0.2">
      <c r="A172" s="38"/>
      <c r="B172" s="38"/>
      <c r="C172" s="38"/>
      <c r="R172" s="38"/>
    </row>
    <row r="173" spans="1:18" x14ac:dyDescent="0.2">
      <c r="A173" s="38"/>
      <c r="B173" s="38"/>
      <c r="C173" s="38"/>
      <c r="R173" s="38"/>
    </row>
    <row r="174" spans="1:18" x14ac:dyDescent="0.2">
      <c r="A174" s="38"/>
      <c r="B174" s="38"/>
      <c r="C174" s="38"/>
      <c r="R174" s="38"/>
    </row>
    <row r="175" spans="1:18" x14ac:dyDescent="0.2">
      <c r="A175" s="38"/>
      <c r="B175" s="38"/>
      <c r="C175" s="38"/>
      <c r="R175" s="38"/>
    </row>
    <row r="176" spans="1:18" x14ac:dyDescent="0.2">
      <c r="A176" s="38"/>
      <c r="B176" s="38"/>
      <c r="C176" s="38"/>
      <c r="R176" s="38"/>
    </row>
    <row r="177" spans="1:18" x14ac:dyDescent="0.2">
      <c r="A177" s="38"/>
      <c r="B177" s="38"/>
      <c r="C177" s="38"/>
      <c r="R177" s="38"/>
    </row>
    <row r="178" spans="1:18" x14ac:dyDescent="0.2">
      <c r="A178" s="38"/>
      <c r="B178" s="38"/>
      <c r="C178" s="38"/>
      <c r="R178" s="38"/>
    </row>
    <row r="179" spans="1:18" x14ac:dyDescent="0.2">
      <c r="A179" s="38"/>
      <c r="B179" s="38"/>
      <c r="C179" s="38"/>
      <c r="R179" s="38"/>
    </row>
    <row r="180" spans="1:18" x14ac:dyDescent="0.2">
      <c r="A180" s="38"/>
      <c r="B180" s="38"/>
      <c r="C180" s="38"/>
      <c r="R180" s="38"/>
    </row>
    <row r="181" spans="1:18" x14ac:dyDescent="0.2">
      <c r="A181" s="38"/>
      <c r="B181" s="38"/>
      <c r="C181" s="38"/>
      <c r="R181" s="38"/>
    </row>
    <row r="182" spans="1:18" x14ac:dyDescent="0.2">
      <c r="A182" s="38"/>
      <c r="B182" s="38"/>
      <c r="C182" s="38"/>
      <c r="R182" s="38"/>
    </row>
    <row r="183" spans="1:18" x14ac:dyDescent="0.2">
      <c r="A183" s="38"/>
      <c r="B183" s="38"/>
      <c r="C183" s="38"/>
      <c r="R183" s="38"/>
    </row>
    <row r="184" spans="1:18" x14ac:dyDescent="0.2">
      <c r="A184" s="38"/>
      <c r="B184" s="38"/>
      <c r="C184" s="38"/>
      <c r="R184" s="38"/>
    </row>
    <row r="185" spans="1:18" x14ac:dyDescent="0.2">
      <c r="A185" s="38"/>
      <c r="B185" s="38"/>
      <c r="C185" s="38"/>
      <c r="R185" s="38"/>
    </row>
    <row r="186" spans="1:18" x14ac:dyDescent="0.2">
      <c r="A186" s="38"/>
      <c r="B186" s="38"/>
      <c r="C186" s="38"/>
      <c r="R186" s="38"/>
    </row>
    <row r="187" spans="1:18" x14ac:dyDescent="0.2">
      <c r="A187" s="38"/>
      <c r="B187" s="38"/>
      <c r="C187" s="38"/>
      <c r="R187" s="38"/>
    </row>
    <row r="188" spans="1:18" x14ac:dyDescent="0.2">
      <c r="A188" s="38"/>
      <c r="B188" s="38"/>
      <c r="C188" s="38"/>
      <c r="R188" s="38"/>
    </row>
    <row r="189" spans="1:18" x14ac:dyDescent="0.2">
      <c r="A189" s="38"/>
      <c r="B189" s="38"/>
      <c r="C189" s="38"/>
      <c r="R189" s="38"/>
    </row>
    <row r="190" spans="1:18" x14ac:dyDescent="0.2">
      <c r="A190" s="38"/>
      <c r="B190" s="38"/>
      <c r="C190" s="38"/>
      <c r="R190" s="38"/>
    </row>
    <row r="191" spans="1:18" x14ac:dyDescent="0.2">
      <c r="A191" s="38"/>
      <c r="B191" s="38"/>
      <c r="C191" s="38"/>
      <c r="R191" s="38"/>
    </row>
    <row r="192" spans="1:18" x14ac:dyDescent="0.2">
      <c r="A192" s="38"/>
      <c r="B192" s="38"/>
      <c r="C192" s="38"/>
      <c r="R192" s="38"/>
    </row>
    <row r="193" spans="1:18" x14ac:dyDescent="0.2">
      <c r="A193" s="38"/>
      <c r="B193" s="38"/>
      <c r="C193" s="38"/>
      <c r="R193" s="38"/>
    </row>
    <row r="194" spans="1:18" x14ac:dyDescent="0.2">
      <c r="A194" s="38"/>
      <c r="B194" s="38"/>
      <c r="C194" s="38"/>
      <c r="R194" s="38"/>
    </row>
    <row r="195" spans="1:18" x14ac:dyDescent="0.2">
      <c r="A195" s="38"/>
      <c r="B195" s="38"/>
      <c r="C195" s="38"/>
      <c r="R195" s="38"/>
    </row>
    <row r="196" spans="1:18" x14ac:dyDescent="0.2">
      <c r="A196" s="38"/>
      <c r="B196" s="38"/>
      <c r="C196" s="38"/>
      <c r="R196" s="38"/>
    </row>
    <row r="197" spans="1:18" x14ac:dyDescent="0.2">
      <c r="A197" s="38"/>
      <c r="B197" s="38"/>
      <c r="C197" s="38"/>
      <c r="R197" s="38"/>
    </row>
    <row r="198" spans="1:18" x14ac:dyDescent="0.2">
      <c r="A198" s="38"/>
      <c r="B198" s="38"/>
      <c r="C198" s="38"/>
      <c r="R198" s="38"/>
    </row>
    <row r="199" spans="1:18" x14ac:dyDescent="0.2">
      <c r="A199" s="38"/>
      <c r="B199" s="38"/>
      <c r="C199" s="38"/>
      <c r="R199" s="38"/>
    </row>
    <row r="200" spans="1:18" x14ac:dyDescent="0.2">
      <c r="A200" s="38"/>
      <c r="B200" s="38"/>
      <c r="C200" s="38"/>
      <c r="R200" s="38"/>
    </row>
    <row r="201" spans="1:18" x14ac:dyDescent="0.2">
      <c r="A201" s="38"/>
      <c r="B201" s="38"/>
      <c r="C201" s="38"/>
      <c r="R201" s="38"/>
    </row>
    <row r="202" spans="1:18" x14ac:dyDescent="0.2">
      <c r="A202" s="38"/>
      <c r="B202" s="38"/>
      <c r="C202" s="38"/>
      <c r="R202" s="38"/>
    </row>
    <row r="203" spans="1:18" x14ac:dyDescent="0.2">
      <c r="A203" s="38"/>
      <c r="B203" s="38"/>
      <c r="C203" s="38"/>
      <c r="R203" s="38"/>
    </row>
    <row r="204" spans="1:18" x14ac:dyDescent="0.2">
      <c r="A204" s="38"/>
      <c r="B204" s="38"/>
      <c r="C204" s="38"/>
      <c r="R204" s="38"/>
    </row>
    <row r="205" spans="1:18" x14ac:dyDescent="0.2">
      <c r="A205" s="38"/>
      <c r="B205" s="38"/>
      <c r="C205" s="38"/>
      <c r="R205" s="38"/>
    </row>
    <row r="206" spans="1:18" x14ac:dyDescent="0.2">
      <c r="A206" s="38"/>
      <c r="B206" s="38"/>
      <c r="C206" s="38"/>
      <c r="R206" s="38"/>
    </row>
    <row r="207" spans="1:18" x14ac:dyDescent="0.2">
      <c r="A207" s="38"/>
      <c r="B207" s="38"/>
      <c r="C207" s="38"/>
      <c r="R207" s="38"/>
    </row>
    <row r="208" spans="1:18" x14ac:dyDescent="0.2">
      <c r="A208" s="38"/>
      <c r="B208" s="38"/>
      <c r="C208" s="38"/>
      <c r="R208" s="38"/>
    </row>
    <row r="209" spans="1:18" x14ac:dyDescent="0.2">
      <c r="A209" s="38"/>
      <c r="B209" s="38"/>
      <c r="C209" s="38"/>
      <c r="R209" s="38"/>
    </row>
    <row r="210" spans="1:18" x14ac:dyDescent="0.2">
      <c r="A210" s="38"/>
      <c r="B210" s="38"/>
      <c r="C210" s="38"/>
      <c r="R210" s="38"/>
    </row>
    <row r="211" spans="1:18" x14ac:dyDescent="0.2">
      <c r="A211" s="38"/>
      <c r="B211" s="38"/>
      <c r="C211" s="38"/>
      <c r="R211" s="38"/>
    </row>
    <row r="212" spans="1:18" x14ac:dyDescent="0.2">
      <c r="A212" s="38"/>
      <c r="B212" s="38"/>
      <c r="C212" s="38"/>
      <c r="R212" s="38"/>
    </row>
    <row r="213" spans="1:18" x14ac:dyDescent="0.2">
      <c r="A213" s="38"/>
      <c r="B213" s="38"/>
      <c r="C213" s="38"/>
      <c r="R213" s="38"/>
    </row>
    <row r="214" spans="1:18" x14ac:dyDescent="0.2">
      <c r="A214" s="38"/>
      <c r="B214" s="38"/>
      <c r="C214" s="38"/>
      <c r="R214" s="38"/>
    </row>
    <row r="215" spans="1:18" x14ac:dyDescent="0.2">
      <c r="A215" s="38"/>
      <c r="B215" s="38"/>
      <c r="C215" s="38"/>
      <c r="R215" s="38"/>
    </row>
    <row r="216" spans="1:18" x14ac:dyDescent="0.2">
      <c r="A216" s="38"/>
      <c r="B216" s="38"/>
      <c r="C216" s="38"/>
      <c r="R216" s="38"/>
    </row>
    <row r="217" spans="1:18" x14ac:dyDescent="0.2">
      <c r="A217" s="38"/>
      <c r="B217" s="38"/>
      <c r="C217" s="38"/>
      <c r="R217" s="38"/>
    </row>
    <row r="218" spans="1:18" x14ac:dyDescent="0.2">
      <c r="A218" s="38"/>
      <c r="B218" s="38"/>
      <c r="C218" s="38"/>
      <c r="R218" s="38"/>
    </row>
    <row r="219" spans="1:18" x14ac:dyDescent="0.2">
      <c r="A219" s="38"/>
      <c r="B219" s="38"/>
      <c r="C219" s="38"/>
      <c r="R219" s="38"/>
    </row>
    <row r="220" spans="1:18" x14ac:dyDescent="0.2">
      <c r="A220" s="38"/>
      <c r="B220" s="38"/>
      <c r="C220" s="38"/>
      <c r="R220" s="38"/>
    </row>
    <row r="221" spans="1:18" x14ac:dyDescent="0.2">
      <c r="A221" s="38"/>
      <c r="B221" s="38"/>
      <c r="C221" s="38"/>
      <c r="R221" s="38"/>
    </row>
    <row r="222" spans="1:18" x14ac:dyDescent="0.2">
      <c r="A222" s="38"/>
      <c r="B222" s="38"/>
      <c r="C222" s="38"/>
      <c r="R222" s="38"/>
    </row>
    <row r="223" spans="1:18" x14ac:dyDescent="0.2">
      <c r="A223" s="38"/>
      <c r="B223" s="38"/>
      <c r="C223" s="38"/>
      <c r="R223" s="38"/>
    </row>
    <row r="224" spans="1:18" x14ac:dyDescent="0.2">
      <c r="A224" s="38"/>
      <c r="B224" s="38"/>
      <c r="C224" s="38"/>
      <c r="R224" s="38"/>
    </row>
    <row r="225" spans="1:18" x14ac:dyDescent="0.2">
      <c r="A225" s="38"/>
      <c r="B225" s="38"/>
      <c r="C225" s="38"/>
      <c r="R225" s="38"/>
    </row>
    <row r="226" spans="1:18" x14ac:dyDescent="0.2">
      <c r="A226" s="38"/>
      <c r="B226" s="38"/>
      <c r="C226" s="38"/>
      <c r="R226" s="38"/>
    </row>
    <row r="227" spans="1:18" x14ac:dyDescent="0.2">
      <c r="A227" s="38"/>
      <c r="B227" s="38"/>
      <c r="C227" s="38"/>
      <c r="R227" s="38"/>
    </row>
    <row r="228" spans="1:18" x14ac:dyDescent="0.2">
      <c r="A228" s="38"/>
      <c r="B228" s="38"/>
      <c r="C228" s="38"/>
      <c r="R228" s="38"/>
    </row>
    <row r="229" spans="1:18" x14ac:dyDescent="0.2">
      <c r="A229" s="38"/>
      <c r="B229" s="38"/>
      <c r="C229" s="38"/>
      <c r="R229" s="38"/>
    </row>
    <row r="230" spans="1:18" x14ac:dyDescent="0.2">
      <c r="A230" s="38"/>
      <c r="B230" s="38"/>
      <c r="C230" s="38"/>
      <c r="R230" s="38"/>
    </row>
    <row r="231" spans="1:18" x14ac:dyDescent="0.2">
      <c r="A231" s="38"/>
      <c r="B231" s="38"/>
      <c r="C231" s="38"/>
      <c r="R231" s="38"/>
    </row>
    <row r="232" spans="1:18" x14ac:dyDescent="0.2">
      <c r="A232" s="38"/>
      <c r="B232" s="38"/>
      <c r="C232" s="38"/>
      <c r="R232" s="38"/>
    </row>
    <row r="233" spans="1:18" x14ac:dyDescent="0.2">
      <c r="A233" s="38"/>
      <c r="B233" s="38"/>
      <c r="C233" s="38"/>
      <c r="R233" s="38"/>
    </row>
    <row r="234" spans="1:18" x14ac:dyDescent="0.2">
      <c r="A234" s="38"/>
      <c r="B234" s="38"/>
      <c r="C234" s="38"/>
      <c r="R234" s="38"/>
    </row>
    <row r="235" spans="1:18" x14ac:dyDescent="0.2">
      <c r="A235" s="38"/>
      <c r="B235" s="38"/>
      <c r="C235" s="38"/>
      <c r="R235" s="38"/>
    </row>
    <row r="236" spans="1:18" x14ac:dyDescent="0.2">
      <c r="A236" s="38"/>
      <c r="B236" s="38"/>
      <c r="C236" s="38"/>
      <c r="R236" s="38"/>
    </row>
    <row r="237" spans="1:18" x14ac:dyDescent="0.2">
      <c r="A237" s="38"/>
      <c r="B237" s="38"/>
      <c r="C237" s="38"/>
      <c r="R237" s="38"/>
    </row>
    <row r="238" spans="1:18" x14ac:dyDescent="0.2">
      <c r="A238" s="38"/>
      <c r="B238" s="38"/>
      <c r="C238" s="38"/>
      <c r="R238" s="38"/>
    </row>
    <row r="239" spans="1:18" x14ac:dyDescent="0.2">
      <c r="A239" s="38"/>
      <c r="B239" s="38"/>
      <c r="C239" s="38"/>
      <c r="R239" s="38"/>
    </row>
    <row r="240" spans="1:18" x14ac:dyDescent="0.2">
      <c r="A240" s="38"/>
      <c r="B240" s="38"/>
      <c r="C240" s="38"/>
      <c r="R240" s="38"/>
    </row>
    <row r="241" spans="1:18" x14ac:dyDescent="0.2">
      <c r="A241" s="38"/>
      <c r="B241" s="38"/>
      <c r="C241" s="38"/>
      <c r="R241" s="38"/>
    </row>
    <row r="242" spans="1:18" x14ac:dyDescent="0.2">
      <c r="A242" s="38"/>
      <c r="B242" s="38"/>
      <c r="C242" s="38"/>
      <c r="R242" s="38"/>
    </row>
    <row r="243" spans="1:18" x14ac:dyDescent="0.2">
      <c r="A243" s="38"/>
      <c r="B243" s="38"/>
      <c r="C243" s="38"/>
      <c r="R243" s="38"/>
    </row>
    <row r="244" spans="1:18" x14ac:dyDescent="0.2">
      <c r="A244" s="38"/>
      <c r="B244" s="38"/>
      <c r="C244" s="38"/>
      <c r="R244" s="38"/>
    </row>
    <row r="245" spans="1:18" x14ac:dyDescent="0.2">
      <c r="A245" s="38"/>
      <c r="B245" s="38"/>
      <c r="C245" s="38"/>
      <c r="R245" s="38"/>
    </row>
    <row r="246" spans="1:18" x14ac:dyDescent="0.2">
      <c r="A246" s="38"/>
      <c r="B246" s="38"/>
      <c r="C246" s="38"/>
      <c r="R246" s="38"/>
    </row>
    <row r="247" spans="1:18" x14ac:dyDescent="0.2">
      <c r="A247" s="38"/>
      <c r="B247" s="38"/>
      <c r="C247" s="38"/>
      <c r="R247" s="38"/>
    </row>
    <row r="248" spans="1:18" x14ac:dyDescent="0.2">
      <c r="A248" s="38"/>
      <c r="B248" s="38"/>
      <c r="C248" s="38"/>
      <c r="R248" s="38"/>
    </row>
    <row r="249" spans="1:18" x14ac:dyDescent="0.2">
      <c r="A249" s="38"/>
      <c r="B249" s="38"/>
      <c r="C249" s="38"/>
      <c r="R249" s="38"/>
    </row>
    <row r="250" spans="1:18" x14ac:dyDescent="0.2">
      <c r="A250" s="38"/>
      <c r="B250" s="38"/>
      <c r="C250" s="38"/>
      <c r="R250" s="38"/>
    </row>
    <row r="251" spans="1:18" x14ac:dyDescent="0.2">
      <c r="A251" s="38"/>
      <c r="B251" s="38"/>
      <c r="C251" s="38"/>
      <c r="R251" s="38"/>
    </row>
    <row r="252" spans="1:18" x14ac:dyDescent="0.2">
      <c r="A252" s="38"/>
      <c r="B252" s="38"/>
      <c r="C252" s="38"/>
      <c r="R252" s="38"/>
    </row>
    <row r="253" spans="1:18" x14ac:dyDescent="0.2">
      <c r="A253" s="38"/>
      <c r="B253" s="38"/>
      <c r="C253" s="38"/>
      <c r="R253" s="38"/>
    </row>
    <row r="254" spans="1:18" x14ac:dyDescent="0.2">
      <c r="A254" s="38"/>
      <c r="B254" s="38"/>
      <c r="C254" s="38"/>
      <c r="R254" s="38"/>
    </row>
    <row r="255" spans="1:18" x14ac:dyDescent="0.2">
      <c r="A255" s="38"/>
      <c r="B255" s="38"/>
      <c r="C255" s="38"/>
      <c r="R255" s="38"/>
    </row>
    <row r="256" spans="1:18" x14ac:dyDescent="0.2">
      <c r="A256" s="38"/>
      <c r="B256" s="38"/>
      <c r="C256" s="38"/>
      <c r="R256" s="38"/>
    </row>
    <row r="257" spans="1:18" x14ac:dyDescent="0.2">
      <c r="A257" s="38"/>
      <c r="B257" s="38"/>
      <c r="C257" s="38"/>
      <c r="R257" s="38"/>
    </row>
    <row r="258" spans="1:18" x14ac:dyDescent="0.2">
      <c r="A258" s="38"/>
      <c r="B258" s="38"/>
      <c r="C258" s="38"/>
      <c r="R258" s="38"/>
    </row>
    <row r="259" spans="1:18" x14ac:dyDescent="0.2">
      <c r="A259" s="38"/>
      <c r="B259" s="38"/>
      <c r="C259" s="38"/>
      <c r="R259" s="38"/>
    </row>
    <row r="260" spans="1:18" x14ac:dyDescent="0.2">
      <c r="A260" s="38"/>
      <c r="B260" s="38"/>
      <c r="C260" s="38"/>
      <c r="R260" s="38"/>
    </row>
    <row r="261" spans="1:18" x14ac:dyDescent="0.2">
      <c r="A261" s="38"/>
      <c r="B261" s="38"/>
      <c r="C261" s="38"/>
      <c r="R261" s="38"/>
    </row>
    <row r="262" spans="1:18" x14ac:dyDescent="0.2">
      <c r="A262" s="38"/>
      <c r="B262" s="38"/>
      <c r="C262" s="38"/>
      <c r="R262" s="38"/>
    </row>
    <row r="263" spans="1:18" x14ac:dyDescent="0.2">
      <c r="A263" s="38"/>
      <c r="B263" s="38"/>
      <c r="C263" s="38"/>
      <c r="R263" s="38"/>
    </row>
    <row r="264" spans="1:18" x14ac:dyDescent="0.2">
      <c r="A264" s="38"/>
      <c r="B264" s="38"/>
      <c r="C264" s="38"/>
      <c r="R264" s="38"/>
    </row>
    <row r="265" spans="1:18" x14ac:dyDescent="0.2">
      <c r="A265" s="38"/>
      <c r="B265" s="38"/>
      <c r="C265" s="38"/>
      <c r="R265" s="38"/>
    </row>
    <row r="266" spans="1:18" x14ac:dyDescent="0.2">
      <c r="A266" s="38"/>
      <c r="B266" s="38"/>
      <c r="C266" s="38"/>
      <c r="R266" s="38"/>
    </row>
    <row r="267" spans="1:18" x14ac:dyDescent="0.2">
      <c r="A267" s="38"/>
      <c r="B267" s="38"/>
      <c r="C267" s="38"/>
      <c r="R267" s="38"/>
    </row>
    <row r="268" spans="1:18" x14ac:dyDescent="0.2">
      <c r="A268" s="38"/>
      <c r="B268" s="38"/>
      <c r="C268" s="38"/>
      <c r="R268" s="38"/>
    </row>
    <row r="269" spans="1:18" x14ac:dyDescent="0.2">
      <c r="A269" s="38"/>
      <c r="B269" s="38"/>
      <c r="C269" s="38"/>
      <c r="R269" s="38"/>
    </row>
    <row r="270" spans="1:18" x14ac:dyDescent="0.2">
      <c r="A270" s="38"/>
      <c r="B270" s="38"/>
      <c r="C270" s="38"/>
      <c r="R270" s="38"/>
    </row>
    <row r="271" spans="1:18" x14ac:dyDescent="0.2">
      <c r="A271" s="38"/>
      <c r="B271" s="38"/>
      <c r="C271" s="38"/>
      <c r="R271" s="38"/>
    </row>
    <row r="272" spans="1:18" x14ac:dyDescent="0.2">
      <c r="A272" s="38"/>
      <c r="B272" s="38"/>
      <c r="C272" s="38"/>
      <c r="R272" s="38"/>
    </row>
    <row r="273" spans="1:18" x14ac:dyDescent="0.2">
      <c r="A273" s="38"/>
      <c r="B273" s="38"/>
      <c r="C273" s="38"/>
      <c r="R273" s="38"/>
    </row>
    <row r="274" spans="1:18" x14ac:dyDescent="0.2">
      <c r="A274" s="38"/>
      <c r="B274" s="38"/>
      <c r="C274" s="38"/>
      <c r="R274" s="38"/>
    </row>
    <row r="275" spans="1:18" x14ac:dyDescent="0.2">
      <c r="A275" s="38"/>
      <c r="B275" s="38"/>
      <c r="C275" s="38"/>
      <c r="R275" s="38"/>
    </row>
    <row r="276" spans="1:18" x14ac:dyDescent="0.2">
      <c r="A276" s="38"/>
      <c r="B276" s="38"/>
      <c r="C276" s="38"/>
      <c r="R276" s="38"/>
    </row>
    <row r="277" spans="1:18" x14ac:dyDescent="0.2">
      <c r="A277" s="38"/>
      <c r="B277" s="38"/>
      <c r="C277" s="38"/>
      <c r="R277" s="38"/>
    </row>
    <row r="278" spans="1:18" x14ac:dyDescent="0.2">
      <c r="A278" s="38"/>
      <c r="B278" s="38"/>
      <c r="C278" s="38"/>
      <c r="R278" s="38"/>
    </row>
    <row r="279" spans="1:18" x14ac:dyDescent="0.2">
      <c r="A279" s="38"/>
      <c r="B279" s="38"/>
      <c r="C279" s="38"/>
      <c r="R279" s="38"/>
    </row>
    <row r="280" spans="1:18" x14ac:dyDescent="0.2">
      <c r="A280" s="38"/>
      <c r="B280" s="38"/>
      <c r="C280" s="38"/>
      <c r="R280" s="38"/>
    </row>
    <row r="281" spans="1:18" x14ac:dyDescent="0.2">
      <c r="A281" s="38"/>
      <c r="B281" s="38"/>
      <c r="C281" s="38"/>
      <c r="R281" s="38"/>
    </row>
    <row r="282" spans="1:18" x14ac:dyDescent="0.2">
      <c r="A282" s="38"/>
      <c r="B282" s="38"/>
      <c r="C282" s="38"/>
      <c r="R282" s="38"/>
    </row>
    <row r="283" spans="1:18" x14ac:dyDescent="0.2">
      <c r="A283" s="38"/>
      <c r="B283" s="38"/>
      <c r="C283" s="38"/>
      <c r="R283" s="38"/>
    </row>
    <row r="284" spans="1:18" x14ac:dyDescent="0.2">
      <c r="A284" s="38"/>
      <c r="B284" s="38"/>
      <c r="C284" s="38"/>
      <c r="R284" s="38"/>
    </row>
    <row r="285" spans="1:18" x14ac:dyDescent="0.2">
      <c r="A285" s="38"/>
      <c r="B285" s="38"/>
      <c r="C285" s="38"/>
      <c r="R285" s="38"/>
    </row>
    <row r="286" spans="1:18" x14ac:dyDescent="0.2">
      <c r="A286" s="38"/>
      <c r="B286" s="38"/>
      <c r="C286" s="38"/>
      <c r="R286" s="38"/>
    </row>
    <row r="287" spans="1:18" x14ac:dyDescent="0.2">
      <c r="A287" s="38"/>
      <c r="B287" s="38"/>
      <c r="C287" s="38"/>
      <c r="R287" s="38"/>
    </row>
    <row r="288" spans="1:18" x14ac:dyDescent="0.2">
      <c r="A288" s="38"/>
      <c r="B288" s="38"/>
      <c r="C288" s="38"/>
      <c r="R288" s="38"/>
    </row>
    <row r="289" spans="1:18" x14ac:dyDescent="0.2">
      <c r="A289" s="38"/>
      <c r="B289" s="38"/>
      <c r="C289" s="38"/>
      <c r="R289" s="38"/>
    </row>
    <row r="290" spans="1:18" x14ac:dyDescent="0.2">
      <c r="A290" s="38"/>
      <c r="B290" s="38"/>
      <c r="C290" s="38"/>
      <c r="R290" s="38"/>
    </row>
    <row r="291" spans="1:18" x14ac:dyDescent="0.2">
      <c r="A291" s="38"/>
      <c r="B291" s="38"/>
      <c r="C291" s="38"/>
      <c r="R291" s="38"/>
    </row>
    <row r="292" spans="1:18" x14ac:dyDescent="0.2">
      <c r="A292" s="38"/>
      <c r="B292" s="38"/>
      <c r="C292" s="38"/>
      <c r="R292" s="38"/>
    </row>
    <row r="293" spans="1:18" x14ac:dyDescent="0.2">
      <c r="A293" s="38"/>
      <c r="B293" s="38"/>
      <c r="C293" s="38"/>
      <c r="R293" s="38"/>
    </row>
    <row r="294" spans="1:18" x14ac:dyDescent="0.2">
      <c r="A294" s="38"/>
      <c r="B294" s="38"/>
      <c r="C294" s="38"/>
      <c r="R294" s="38"/>
    </row>
    <row r="295" spans="1:18" x14ac:dyDescent="0.2">
      <c r="A295" s="38"/>
      <c r="B295" s="38"/>
      <c r="C295" s="38"/>
      <c r="R295" s="38"/>
    </row>
    <row r="296" spans="1:18" x14ac:dyDescent="0.2">
      <c r="A296" s="38"/>
      <c r="B296" s="38"/>
      <c r="C296" s="38"/>
      <c r="R296" s="38"/>
    </row>
    <row r="297" spans="1:18" x14ac:dyDescent="0.2">
      <c r="A297" s="38"/>
      <c r="B297" s="38"/>
      <c r="C297" s="38"/>
      <c r="R297" s="38"/>
    </row>
    <row r="298" spans="1:18" x14ac:dyDescent="0.2">
      <c r="A298" s="38"/>
      <c r="B298" s="38"/>
      <c r="C298" s="38"/>
      <c r="R298" s="38"/>
    </row>
    <row r="299" spans="1:18" x14ac:dyDescent="0.2">
      <c r="A299" s="38"/>
      <c r="B299" s="38"/>
      <c r="C299" s="38"/>
      <c r="R299" s="38"/>
    </row>
    <row r="300" spans="1:18" x14ac:dyDescent="0.2">
      <c r="A300" s="38"/>
      <c r="B300" s="38"/>
      <c r="C300" s="38"/>
      <c r="R300" s="38"/>
    </row>
    <row r="301" spans="1:18" x14ac:dyDescent="0.2">
      <c r="A301" s="38"/>
      <c r="B301" s="38"/>
      <c r="C301" s="38"/>
      <c r="R301" s="38"/>
    </row>
    <row r="302" spans="1:18" x14ac:dyDescent="0.2">
      <c r="A302" s="38"/>
      <c r="B302" s="38"/>
      <c r="C302" s="38"/>
      <c r="R302" s="38"/>
    </row>
    <row r="303" spans="1:18" x14ac:dyDescent="0.2">
      <c r="A303" s="38"/>
      <c r="B303" s="38"/>
      <c r="C303" s="38"/>
      <c r="R303" s="38"/>
    </row>
    <row r="304" spans="1:18" x14ac:dyDescent="0.2">
      <c r="A304" s="38"/>
      <c r="B304" s="38"/>
      <c r="C304" s="38"/>
      <c r="R304" s="38"/>
    </row>
    <row r="305" spans="1:18" x14ac:dyDescent="0.2">
      <c r="A305" s="38"/>
      <c r="B305" s="38"/>
      <c r="C305" s="38"/>
      <c r="R305" s="38"/>
    </row>
    <row r="306" spans="1:18" x14ac:dyDescent="0.2">
      <c r="A306" s="38"/>
      <c r="B306" s="38"/>
      <c r="C306" s="38"/>
      <c r="R306" s="38"/>
    </row>
    <row r="307" spans="1:18" x14ac:dyDescent="0.2">
      <c r="A307" s="38"/>
      <c r="B307" s="38"/>
      <c r="C307" s="38"/>
      <c r="R307" s="38"/>
    </row>
    <row r="308" spans="1:18" x14ac:dyDescent="0.2">
      <c r="A308" s="38"/>
      <c r="B308" s="38"/>
      <c r="C308" s="38"/>
      <c r="R308" s="38"/>
    </row>
    <row r="309" spans="1:18" x14ac:dyDescent="0.2">
      <c r="A309" s="38"/>
      <c r="B309" s="38"/>
      <c r="C309" s="38"/>
      <c r="R309" s="38"/>
    </row>
    <row r="310" spans="1:18" x14ac:dyDescent="0.2">
      <c r="A310" s="38"/>
      <c r="B310" s="38"/>
      <c r="C310" s="38"/>
      <c r="R310" s="38"/>
    </row>
    <row r="311" spans="1:18" x14ac:dyDescent="0.2">
      <c r="A311" s="38"/>
      <c r="B311" s="38"/>
      <c r="C311" s="38"/>
      <c r="R311" s="38"/>
    </row>
    <row r="312" spans="1:18" x14ac:dyDescent="0.2">
      <c r="A312" s="38"/>
      <c r="B312" s="38"/>
      <c r="C312" s="38"/>
      <c r="R312" s="38"/>
    </row>
    <row r="313" spans="1:18" x14ac:dyDescent="0.2">
      <c r="A313" s="38"/>
      <c r="B313" s="38"/>
      <c r="C313" s="38"/>
      <c r="R313" s="38"/>
    </row>
    <row r="314" spans="1:18" x14ac:dyDescent="0.2">
      <c r="A314" s="38"/>
      <c r="B314" s="38"/>
      <c r="C314" s="38"/>
      <c r="R314" s="38"/>
    </row>
    <row r="315" spans="1:18" x14ac:dyDescent="0.2">
      <c r="A315" s="38"/>
      <c r="B315" s="38"/>
      <c r="C315" s="38"/>
      <c r="R315" s="38"/>
    </row>
    <row r="316" spans="1:18" x14ac:dyDescent="0.2">
      <c r="A316" s="38"/>
      <c r="B316" s="38"/>
      <c r="C316" s="38"/>
      <c r="R316" s="38"/>
    </row>
    <row r="317" spans="1:18" x14ac:dyDescent="0.2">
      <c r="A317" s="38"/>
      <c r="B317" s="38"/>
      <c r="C317" s="38"/>
      <c r="R317" s="38"/>
    </row>
    <row r="318" spans="1:18" x14ac:dyDescent="0.2">
      <c r="A318" s="38"/>
      <c r="B318" s="38"/>
      <c r="C318" s="38"/>
      <c r="R318" s="38"/>
    </row>
    <row r="319" spans="1:18" x14ac:dyDescent="0.2">
      <c r="A319" s="38"/>
      <c r="B319" s="38"/>
      <c r="C319" s="38"/>
      <c r="R319" s="38"/>
    </row>
    <row r="320" spans="1:18" x14ac:dyDescent="0.2">
      <c r="A320" s="38"/>
      <c r="B320" s="38"/>
      <c r="C320" s="38"/>
      <c r="R320" s="38"/>
    </row>
    <row r="321" spans="1:18" x14ac:dyDescent="0.2">
      <c r="A321" s="38"/>
      <c r="B321" s="38"/>
      <c r="C321" s="38"/>
      <c r="R321" s="38"/>
    </row>
    <row r="322" spans="1:18" x14ac:dyDescent="0.2">
      <c r="A322" s="38"/>
      <c r="B322" s="38"/>
      <c r="C322" s="38"/>
      <c r="R322" s="38"/>
    </row>
    <row r="323" spans="1:18" x14ac:dyDescent="0.2">
      <c r="A323" s="38"/>
      <c r="B323" s="38"/>
      <c r="C323" s="38"/>
      <c r="R323" s="38"/>
    </row>
    <row r="324" spans="1:18" x14ac:dyDescent="0.2">
      <c r="A324" s="38"/>
      <c r="B324" s="38"/>
      <c r="C324" s="38"/>
      <c r="R324" s="38"/>
    </row>
    <row r="325" spans="1:18" x14ac:dyDescent="0.2">
      <c r="A325" s="38"/>
      <c r="B325" s="38"/>
      <c r="C325" s="38"/>
      <c r="R325" s="38"/>
    </row>
    <row r="326" spans="1:18" x14ac:dyDescent="0.2">
      <c r="A326" s="38"/>
      <c r="B326" s="38"/>
      <c r="C326" s="38"/>
      <c r="R326" s="38"/>
    </row>
    <row r="327" spans="1:18" x14ac:dyDescent="0.2">
      <c r="A327" s="38"/>
      <c r="B327" s="38"/>
      <c r="C327" s="38"/>
      <c r="R327" s="38"/>
    </row>
    <row r="328" spans="1:18" x14ac:dyDescent="0.2">
      <c r="A328" s="38"/>
      <c r="B328" s="38"/>
      <c r="C328" s="38"/>
      <c r="R328" s="38"/>
    </row>
    <row r="329" spans="1:18" x14ac:dyDescent="0.2">
      <c r="A329" s="38"/>
      <c r="B329" s="38"/>
      <c r="C329" s="38"/>
      <c r="R329" s="38"/>
    </row>
    <row r="330" spans="1:18" x14ac:dyDescent="0.2">
      <c r="A330" s="38"/>
      <c r="B330" s="38"/>
      <c r="C330" s="38"/>
      <c r="R330" s="38"/>
    </row>
    <row r="331" spans="1:18" x14ac:dyDescent="0.2">
      <c r="A331" s="38"/>
      <c r="B331" s="38"/>
      <c r="C331" s="38"/>
      <c r="R331" s="38"/>
    </row>
    <row r="332" spans="1:18" x14ac:dyDescent="0.2">
      <c r="A332" s="38"/>
      <c r="B332" s="38"/>
      <c r="C332" s="38"/>
      <c r="R332" s="38"/>
    </row>
    <row r="333" spans="1:18" x14ac:dyDescent="0.2">
      <c r="A333" s="38"/>
      <c r="B333" s="38"/>
      <c r="C333" s="38"/>
      <c r="R333" s="38"/>
    </row>
    <row r="334" spans="1:18" x14ac:dyDescent="0.2">
      <c r="A334" s="38"/>
      <c r="B334" s="38"/>
      <c r="C334" s="38"/>
      <c r="R334" s="38"/>
    </row>
    <row r="335" spans="1:18" x14ac:dyDescent="0.2">
      <c r="A335" s="38"/>
      <c r="B335" s="38"/>
      <c r="C335" s="38"/>
      <c r="R335" s="38"/>
    </row>
    <row r="336" spans="1:18" x14ac:dyDescent="0.2">
      <c r="A336" s="38"/>
      <c r="B336" s="38"/>
      <c r="C336" s="38"/>
      <c r="R336" s="38"/>
    </row>
    <row r="337" spans="1:18" x14ac:dyDescent="0.2">
      <c r="A337" s="38"/>
      <c r="B337" s="38"/>
      <c r="C337" s="38"/>
      <c r="R337" s="38"/>
    </row>
    <row r="338" spans="1:18" x14ac:dyDescent="0.2">
      <c r="A338" s="38"/>
      <c r="B338" s="38"/>
      <c r="C338" s="38"/>
      <c r="R338" s="38"/>
    </row>
    <row r="339" spans="1:18" x14ac:dyDescent="0.2">
      <c r="A339" s="38"/>
      <c r="B339" s="38"/>
      <c r="C339" s="38"/>
      <c r="R339" s="38"/>
    </row>
    <row r="340" spans="1:18" x14ac:dyDescent="0.2">
      <c r="A340" s="38"/>
      <c r="B340" s="38"/>
      <c r="C340" s="38"/>
      <c r="R340" s="38"/>
    </row>
    <row r="341" spans="1:18" x14ac:dyDescent="0.2">
      <c r="A341" s="38"/>
      <c r="B341" s="38"/>
      <c r="C341" s="38"/>
      <c r="R341" s="38"/>
    </row>
    <row r="342" spans="1:18" x14ac:dyDescent="0.2">
      <c r="A342" s="38"/>
      <c r="B342" s="38"/>
      <c r="C342" s="38"/>
      <c r="R342" s="38"/>
    </row>
    <row r="343" spans="1:18" x14ac:dyDescent="0.2">
      <c r="A343" s="38"/>
      <c r="B343" s="38"/>
      <c r="C343" s="38"/>
      <c r="R343" s="38"/>
    </row>
    <row r="344" spans="1:18" x14ac:dyDescent="0.2">
      <c r="A344" s="38"/>
      <c r="B344" s="38"/>
      <c r="C344" s="38"/>
      <c r="R344" s="38"/>
    </row>
    <row r="345" spans="1:18" x14ac:dyDescent="0.2">
      <c r="A345" s="38"/>
      <c r="B345" s="38"/>
      <c r="C345" s="38"/>
      <c r="R345" s="38"/>
    </row>
    <row r="346" spans="1:18" x14ac:dyDescent="0.2">
      <c r="A346" s="38"/>
      <c r="B346" s="38"/>
      <c r="C346" s="38"/>
      <c r="R346" s="38"/>
    </row>
    <row r="347" spans="1:18" x14ac:dyDescent="0.2">
      <c r="A347" s="38"/>
      <c r="B347" s="38"/>
      <c r="C347" s="38"/>
      <c r="R347" s="38"/>
    </row>
    <row r="348" spans="1:18" x14ac:dyDescent="0.2">
      <c r="A348" s="38"/>
      <c r="B348" s="38"/>
      <c r="C348" s="38"/>
      <c r="R348" s="38"/>
    </row>
    <row r="349" spans="1:18" x14ac:dyDescent="0.2">
      <c r="A349" s="38"/>
      <c r="B349" s="38"/>
      <c r="C349" s="38"/>
      <c r="R349" s="38"/>
    </row>
    <row r="350" spans="1:18" x14ac:dyDescent="0.2">
      <c r="A350" s="38"/>
      <c r="B350" s="38"/>
      <c r="C350" s="38"/>
      <c r="R350" s="38"/>
    </row>
    <row r="351" spans="1:18" x14ac:dyDescent="0.2">
      <c r="A351" s="38"/>
      <c r="B351" s="38"/>
      <c r="C351" s="38"/>
      <c r="R351" s="38"/>
    </row>
    <row r="352" spans="1:18" x14ac:dyDescent="0.2">
      <c r="A352" s="38"/>
      <c r="B352" s="38"/>
      <c r="C352" s="38"/>
      <c r="R352" s="38"/>
    </row>
    <row r="353" spans="1:18" x14ac:dyDescent="0.2">
      <c r="A353" s="38"/>
      <c r="B353" s="38"/>
      <c r="C353" s="38"/>
      <c r="R353" s="38"/>
    </row>
    <row r="354" spans="1:18" x14ac:dyDescent="0.2">
      <c r="A354" s="38"/>
      <c r="B354" s="38"/>
      <c r="C354" s="38"/>
      <c r="R354" s="38"/>
    </row>
    <row r="355" spans="1:18" x14ac:dyDescent="0.2">
      <c r="A355" s="38"/>
      <c r="B355" s="38"/>
      <c r="C355" s="38"/>
      <c r="R355" s="38"/>
    </row>
    <row r="356" spans="1:18" x14ac:dyDescent="0.2">
      <c r="A356" s="38"/>
      <c r="B356" s="38"/>
      <c r="C356" s="38"/>
      <c r="R356" s="38"/>
    </row>
    <row r="357" spans="1:18" x14ac:dyDescent="0.2">
      <c r="A357" s="38"/>
      <c r="B357" s="38"/>
      <c r="C357" s="38"/>
      <c r="R357" s="38"/>
    </row>
    <row r="358" spans="1:18" x14ac:dyDescent="0.2">
      <c r="A358" s="38"/>
      <c r="B358" s="38"/>
      <c r="C358" s="38"/>
      <c r="R358" s="38"/>
    </row>
    <row r="359" spans="1:18" x14ac:dyDescent="0.2">
      <c r="A359" s="38"/>
      <c r="B359" s="38"/>
      <c r="C359" s="38"/>
      <c r="R359" s="38"/>
    </row>
    <row r="360" spans="1:18" x14ac:dyDescent="0.2">
      <c r="A360" s="38"/>
      <c r="B360" s="38"/>
      <c r="C360" s="38"/>
      <c r="R360" s="38"/>
    </row>
    <row r="361" spans="1:18" x14ac:dyDescent="0.2">
      <c r="A361" s="38"/>
      <c r="B361" s="38"/>
      <c r="C361" s="38"/>
      <c r="R361" s="38"/>
    </row>
    <row r="362" spans="1:18" x14ac:dyDescent="0.2">
      <c r="A362" s="38"/>
      <c r="B362" s="38"/>
      <c r="C362" s="38"/>
      <c r="R362" s="38"/>
    </row>
    <row r="363" spans="1:18" x14ac:dyDescent="0.2">
      <c r="A363" s="38"/>
      <c r="B363" s="38"/>
      <c r="C363" s="38"/>
      <c r="R363" s="38"/>
    </row>
    <row r="364" spans="1:18" x14ac:dyDescent="0.2">
      <c r="A364" s="38"/>
      <c r="B364" s="38"/>
      <c r="C364" s="38"/>
      <c r="R364" s="38"/>
    </row>
    <row r="365" spans="1:18" x14ac:dyDescent="0.2">
      <c r="A365" s="38"/>
      <c r="B365" s="38"/>
      <c r="C365" s="38"/>
      <c r="R365" s="38"/>
    </row>
    <row r="366" spans="1:18" x14ac:dyDescent="0.2">
      <c r="A366" s="38"/>
      <c r="B366" s="38"/>
      <c r="C366" s="38"/>
      <c r="R366" s="38"/>
    </row>
    <row r="367" spans="1:18" x14ac:dyDescent="0.2">
      <c r="A367" s="38"/>
      <c r="B367" s="38"/>
      <c r="C367" s="38"/>
      <c r="R367" s="38"/>
    </row>
    <row r="368" spans="1:18" x14ac:dyDescent="0.2">
      <c r="A368" s="38"/>
      <c r="B368" s="38"/>
      <c r="C368" s="38"/>
      <c r="R368" s="38"/>
    </row>
    <row r="369" spans="1:18" x14ac:dyDescent="0.2">
      <c r="A369" s="38"/>
      <c r="B369" s="38"/>
      <c r="C369" s="38"/>
      <c r="R369" s="38"/>
    </row>
    <row r="370" spans="1:18" x14ac:dyDescent="0.2">
      <c r="A370" s="38"/>
      <c r="B370" s="38"/>
      <c r="C370" s="38"/>
      <c r="R370" s="38"/>
    </row>
    <row r="371" spans="1:18" x14ac:dyDescent="0.2">
      <c r="A371" s="38"/>
      <c r="B371" s="38"/>
      <c r="C371" s="38"/>
      <c r="R371" s="38"/>
    </row>
    <row r="372" spans="1:18" x14ac:dyDescent="0.2">
      <c r="A372" s="38"/>
      <c r="B372" s="38"/>
      <c r="C372" s="38"/>
      <c r="R372" s="38"/>
    </row>
    <row r="373" spans="1:18" x14ac:dyDescent="0.2">
      <c r="A373" s="38"/>
      <c r="B373" s="38"/>
      <c r="C373" s="38"/>
      <c r="R373" s="38"/>
    </row>
    <row r="374" spans="1:18" x14ac:dyDescent="0.2">
      <c r="A374" s="38"/>
      <c r="B374" s="38"/>
      <c r="C374" s="38"/>
      <c r="R374" s="38"/>
    </row>
    <row r="375" spans="1:18" x14ac:dyDescent="0.2">
      <c r="A375" s="38"/>
      <c r="B375" s="38"/>
      <c r="C375" s="38"/>
      <c r="R375" s="38"/>
    </row>
    <row r="376" spans="1:18" x14ac:dyDescent="0.2">
      <c r="A376" s="38"/>
      <c r="B376" s="38"/>
      <c r="C376" s="38"/>
      <c r="R376" s="38"/>
    </row>
    <row r="377" spans="1:18" x14ac:dyDescent="0.2">
      <c r="A377" s="38"/>
      <c r="B377" s="38"/>
      <c r="C377" s="38"/>
      <c r="R377" s="38"/>
    </row>
    <row r="378" spans="1:18" x14ac:dyDescent="0.2">
      <c r="A378" s="38"/>
      <c r="B378" s="38"/>
      <c r="C378" s="38"/>
      <c r="R378" s="38"/>
    </row>
    <row r="379" spans="1:18" x14ac:dyDescent="0.2">
      <c r="A379" s="38"/>
      <c r="B379" s="38"/>
      <c r="C379" s="38"/>
      <c r="R379" s="38"/>
    </row>
    <row r="380" spans="1:18" x14ac:dyDescent="0.2">
      <c r="A380" s="38"/>
      <c r="B380" s="38"/>
      <c r="C380" s="38"/>
      <c r="R380" s="38"/>
    </row>
    <row r="381" spans="1:18" x14ac:dyDescent="0.2">
      <c r="A381" s="38"/>
      <c r="B381" s="38"/>
      <c r="C381" s="38"/>
      <c r="R381" s="38"/>
    </row>
    <row r="382" spans="1:18" x14ac:dyDescent="0.2">
      <c r="A382" s="38"/>
      <c r="B382" s="38"/>
      <c r="C382" s="38"/>
      <c r="R382" s="38"/>
    </row>
    <row r="383" spans="1:18" x14ac:dyDescent="0.2">
      <c r="A383" s="38"/>
      <c r="B383" s="38"/>
      <c r="C383" s="38"/>
      <c r="R383" s="38"/>
    </row>
    <row r="384" spans="1:18" x14ac:dyDescent="0.2">
      <c r="A384" s="38"/>
      <c r="B384" s="38"/>
      <c r="C384" s="38"/>
      <c r="R384" s="38"/>
    </row>
    <row r="385" spans="1:18" x14ac:dyDescent="0.2">
      <c r="A385" s="38"/>
      <c r="B385" s="38"/>
      <c r="C385" s="38"/>
      <c r="R385" s="38"/>
    </row>
    <row r="386" spans="1:18" x14ac:dyDescent="0.2">
      <c r="A386" s="38"/>
      <c r="B386" s="38"/>
      <c r="C386" s="38"/>
      <c r="R386" s="38"/>
    </row>
    <row r="387" spans="1:18" x14ac:dyDescent="0.2">
      <c r="A387" s="38"/>
      <c r="B387" s="38"/>
      <c r="C387" s="38"/>
      <c r="R387" s="38"/>
    </row>
    <row r="388" spans="1:18" x14ac:dyDescent="0.2">
      <c r="A388" s="38"/>
      <c r="B388" s="38"/>
      <c r="C388" s="38"/>
      <c r="R388" s="38"/>
    </row>
    <row r="389" spans="1:18" x14ac:dyDescent="0.2">
      <c r="A389" s="38"/>
      <c r="B389" s="38"/>
      <c r="C389" s="38"/>
      <c r="R389" s="38"/>
    </row>
    <row r="390" spans="1:18" x14ac:dyDescent="0.2">
      <c r="A390" s="38"/>
      <c r="B390" s="38"/>
      <c r="C390" s="38"/>
      <c r="R390" s="38"/>
    </row>
    <row r="391" spans="1:18" x14ac:dyDescent="0.2">
      <c r="A391" s="38"/>
      <c r="B391" s="38"/>
      <c r="C391" s="38"/>
      <c r="R391" s="38"/>
    </row>
    <row r="392" spans="1:18" x14ac:dyDescent="0.2">
      <c r="A392" s="38"/>
      <c r="B392" s="38"/>
      <c r="C392" s="38"/>
      <c r="R392" s="38"/>
    </row>
    <row r="393" spans="1:18" x14ac:dyDescent="0.2">
      <c r="A393" s="38"/>
      <c r="B393" s="38"/>
      <c r="C393" s="38"/>
      <c r="R393" s="38"/>
    </row>
    <row r="394" spans="1:18" x14ac:dyDescent="0.2">
      <c r="A394" s="38"/>
      <c r="B394" s="38"/>
      <c r="C394" s="38"/>
      <c r="R394" s="38"/>
    </row>
    <row r="395" spans="1:18" x14ac:dyDescent="0.2">
      <c r="A395" s="38"/>
      <c r="B395" s="38"/>
      <c r="C395" s="38"/>
      <c r="R395" s="38"/>
    </row>
    <row r="396" spans="1:18" x14ac:dyDescent="0.2">
      <c r="A396" s="38"/>
      <c r="B396" s="38"/>
      <c r="C396" s="38"/>
      <c r="R396" s="38"/>
    </row>
    <row r="397" spans="1:18" x14ac:dyDescent="0.2">
      <c r="A397" s="38"/>
      <c r="B397" s="38"/>
      <c r="C397" s="38"/>
      <c r="R397" s="38"/>
    </row>
    <row r="398" spans="1:18" x14ac:dyDescent="0.2">
      <c r="A398" s="38"/>
      <c r="B398" s="38"/>
      <c r="C398" s="38"/>
      <c r="R398" s="38"/>
    </row>
    <row r="399" spans="1:18" x14ac:dyDescent="0.2">
      <c r="A399" s="38"/>
      <c r="B399" s="38"/>
      <c r="C399" s="38"/>
      <c r="R399" s="38"/>
    </row>
    <row r="400" spans="1:18" x14ac:dyDescent="0.2">
      <c r="A400" s="38"/>
      <c r="B400" s="38"/>
      <c r="C400" s="38"/>
      <c r="R400" s="38"/>
    </row>
    <row r="401" spans="1:18" x14ac:dyDescent="0.2">
      <c r="A401" s="38"/>
      <c r="B401" s="38"/>
      <c r="C401" s="38"/>
      <c r="R401" s="38"/>
    </row>
    <row r="402" spans="1:18" x14ac:dyDescent="0.2">
      <c r="A402" s="38"/>
      <c r="B402" s="38"/>
      <c r="C402" s="38"/>
      <c r="R402" s="38"/>
    </row>
    <row r="403" spans="1:18" x14ac:dyDescent="0.2">
      <c r="A403" s="38"/>
      <c r="B403" s="38"/>
      <c r="C403" s="38"/>
      <c r="R403" s="38"/>
    </row>
    <row r="404" spans="1:18" x14ac:dyDescent="0.2">
      <c r="A404" s="38"/>
      <c r="B404" s="38"/>
      <c r="C404" s="38"/>
      <c r="R404" s="38"/>
    </row>
    <row r="405" spans="1:18" x14ac:dyDescent="0.2">
      <c r="A405" s="38"/>
      <c r="B405" s="38"/>
      <c r="C405" s="38"/>
      <c r="R405" s="38"/>
    </row>
    <row r="406" spans="1:18" x14ac:dyDescent="0.2">
      <c r="A406" s="38"/>
      <c r="B406" s="38"/>
      <c r="C406" s="38"/>
      <c r="R406" s="38"/>
    </row>
    <row r="407" spans="1:18" x14ac:dyDescent="0.2">
      <c r="A407" s="38"/>
      <c r="B407" s="38"/>
      <c r="C407" s="38"/>
      <c r="R407" s="38"/>
    </row>
    <row r="408" spans="1:18" x14ac:dyDescent="0.2">
      <c r="A408" s="38"/>
      <c r="B408" s="38"/>
      <c r="C408" s="38"/>
      <c r="R408" s="38"/>
    </row>
    <row r="409" spans="1:18" x14ac:dyDescent="0.2">
      <c r="A409" s="38"/>
      <c r="B409" s="38"/>
      <c r="C409" s="38"/>
      <c r="R409" s="38"/>
    </row>
    <row r="410" spans="1:18" x14ac:dyDescent="0.2">
      <c r="A410" s="38"/>
      <c r="B410" s="38"/>
      <c r="C410" s="38"/>
      <c r="R410" s="38"/>
    </row>
    <row r="411" spans="1:18" x14ac:dyDescent="0.2">
      <c r="A411" s="38"/>
      <c r="B411" s="38"/>
      <c r="C411" s="38"/>
      <c r="R411" s="38"/>
    </row>
    <row r="412" spans="1:18" x14ac:dyDescent="0.2">
      <c r="A412" s="38"/>
      <c r="B412" s="38"/>
      <c r="C412" s="38"/>
      <c r="R412" s="38"/>
    </row>
    <row r="413" spans="1:18" x14ac:dyDescent="0.2">
      <c r="A413" s="38"/>
      <c r="B413" s="38"/>
      <c r="C413" s="38"/>
      <c r="R413" s="38"/>
    </row>
    <row r="414" spans="1:18" x14ac:dyDescent="0.2">
      <c r="A414" s="38"/>
      <c r="B414" s="38"/>
      <c r="C414" s="38"/>
      <c r="R414" s="38"/>
    </row>
    <row r="415" spans="1:18" x14ac:dyDescent="0.2">
      <c r="A415" s="38"/>
      <c r="B415" s="38"/>
      <c r="C415" s="38"/>
      <c r="R415" s="38"/>
    </row>
    <row r="416" spans="1:18" x14ac:dyDescent="0.2">
      <c r="A416" s="38"/>
      <c r="B416" s="38"/>
      <c r="C416" s="38"/>
      <c r="R416" s="38"/>
    </row>
    <row r="417" spans="1:18" x14ac:dyDescent="0.2">
      <c r="A417" s="38"/>
      <c r="B417" s="38"/>
      <c r="C417" s="38"/>
      <c r="R417" s="38"/>
    </row>
    <row r="418" spans="1:18" x14ac:dyDescent="0.2">
      <c r="A418" s="38"/>
      <c r="B418" s="38"/>
      <c r="C418" s="38"/>
      <c r="R418" s="38"/>
    </row>
    <row r="419" spans="1:18" x14ac:dyDescent="0.2">
      <c r="A419" s="38"/>
      <c r="B419" s="38"/>
      <c r="C419" s="38"/>
      <c r="R419" s="38"/>
    </row>
    <row r="420" spans="1:18" x14ac:dyDescent="0.2">
      <c r="A420" s="38"/>
      <c r="B420" s="38"/>
      <c r="C420" s="38"/>
      <c r="R420" s="38"/>
    </row>
    <row r="421" spans="1:18" x14ac:dyDescent="0.2">
      <c r="A421" s="38"/>
      <c r="B421" s="38"/>
      <c r="C421" s="38"/>
      <c r="R421" s="38"/>
    </row>
    <row r="422" spans="1:18" x14ac:dyDescent="0.2">
      <c r="A422" s="38"/>
      <c r="B422" s="38"/>
      <c r="C422" s="38"/>
      <c r="R422" s="38"/>
    </row>
    <row r="423" spans="1:18" x14ac:dyDescent="0.2">
      <c r="A423" s="38"/>
      <c r="B423" s="38"/>
      <c r="C423" s="38"/>
      <c r="R423" s="38"/>
    </row>
    <row r="424" spans="1:18" x14ac:dyDescent="0.2">
      <c r="A424" s="38"/>
      <c r="B424" s="38"/>
      <c r="C424" s="38"/>
      <c r="R424" s="38"/>
    </row>
    <row r="425" spans="1:18" x14ac:dyDescent="0.2">
      <c r="A425" s="38"/>
      <c r="B425" s="38"/>
      <c r="C425" s="38"/>
      <c r="R425" s="38"/>
    </row>
    <row r="426" spans="1:18" x14ac:dyDescent="0.2">
      <c r="A426" s="38"/>
      <c r="B426" s="38"/>
      <c r="C426" s="38"/>
      <c r="R426" s="38"/>
    </row>
    <row r="427" spans="1:18" x14ac:dyDescent="0.2">
      <c r="A427" s="38"/>
      <c r="B427" s="38"/>
      <c r="C427" s="38"/>
      <c r="R427" s="38"/>
    </row>
    <row r="428" spans="1:18" x14ac:dyDescent="0.2">
      <c r="A428" s="38"/>
      <c r="B428" s="38"/>
      <c r="C428" s="38"/>
      <c r="R428" s="38"/>
    </row>
    <row r="429" spans="1:18" x14ac:dyDescent="0.2">
      <c r="A429" s="38"/>
      <c r="B429" s="38"/>
      <c r="C429" s="38"/>
      <c r="R429" s="38"/>
    </row>
    <row r="430" spans="1:18" x14ac:dyDescent="0.2">
      <c r="A430" s="38"/>
      <c r="B430" s="38"/>
      <c r="C430" s="38"/>
      <c r="R430" s="38"/>
    </row>
    <row r="431" spans="1:18" x14ac:dyDescent="0.2">
      <c r="A431" s="38"/>
      <c r="B431" s="38"/>
      <c r="C431" s="38"/>
      <c r="R431" s="38"/>
    </row>
    <row r="432" spans="1:18" x14ac:dyDescent="0.2">
      <c r="A432" s="38"/>
      <c r="B432" s="38"/>
      <c r="C432" s="38"/>
      <c r="R432" s="38"/>
    </row>
    <row r="433" spans="1:18" x14ac:dyDescent="0.2">
      <c r="A433" s="38"/>
      <c r="B433" s="38"/>
      <c r="C433" s="38"/>
      <c r="R433" s="38"/>
    </row>
    <row r="434" spans="1:18" x14ac:dyDescent="0.2">
      <c r="A434" s="38"/>
      <c r="B434" s="38"/>
      <c r="C434" s="38"/>
      <c r="R434" s="38"/>
    </row>
    <row r="435" spans="1:18" x14ac:dyDescent="0.2">
      <c r="A435" s="38"/>
      <c r="B435" s="38"/>
      <c r="C435" s="38"/>
      <c r="R435" s="38"/>
    </row>
    <row r="436" spans="1:18" x14ac:dyDescent="0.2">
      <c r="A436" s="38"/>
      <c r="B436" s="38"/>
      <c r="C436" s="38"/>
      <c r="R436" s="38"/>
    </row>
    <row r="437" spans="1:18" x14ac:dyDescent="0.2">
      <c r="A437" s="38"/>
      <c r="B437" s="38"/>
      <c r="C437" s="38"/>
      <c r="R437" s="38"/>
    </row>
    <row r="438" spans="1:18" x14ac:dyDescent="0.2">
      <c r="A438" s="38"/>
      <c r="B438" s="38"/>
      <c r="C438" s="38"/>
      <c r="R438" s="38"/>
    </row>
    <row r="439" spans="1:18" x14ac:dyDescent="0.2">
      <c r="A439" s="38"/>
      <c r="B439" s="38"/>
      <c r="C439" s="38"/>
      <c r="R439" s="38"/>
    </row>
    <row r="440" spans="1:18" x14ac:dyDescent="0.2">
      <c r="A440" s="38"/>
      <c r="B440" s="38"/>
      <c r="C440" s="38"/>
      <c r="R440" s="38"/>
    </row>
    <row r="441" spans="1:18" x14ac:dyDescent="0.2">
      <c r="A441" s="38"/>
      <c r="B441" s="38"/>
      <c r="C441" s="38"/>
      <c r="R441" s="38"/>
    </row>
    <row r="442" spans="1:18" x14ac:dyDescent="0.2">
      <c r="A442" s="38"/>
      <c r="B442" s="38"/>
      <c r="C442" s="38"/>
      <c r="R442" s="38"/>
    </row>
    <row r="443" spans="1:18" x14ac:dyDescent="0.2">
      <c r="A443" s="38"/>
      <c r="B443" s="38"/>
      <c r="C443" s="38"/>
      <c r="R443" s="38"/>
    </row>
    <row r="444" spans="1:18" x14ac:dyDescent="0.2">
      <c r="A444" s="38"/>
      <c r="B444" s="38"/>
      <c r="C444" s="38"/>
      <c r="R444" s="38"/>
    </row>
    <row r="445" spans="1:18" x14ac:dyDescent="0.2">
      <c r="A445" s="38"/>
      <c r="B445" s="38"/>
      <c r="C445" s="38"/>
      <c r="R445" s="38"/>
    </row>
    <row r="446" spans="1:18" x14ac:dyDescent="0.2">
      <c r="A446" s="38"/>
      <c r="B446" s="38"/>
      <c r="C446" s="38"/>
      <c r="R446" s="38"/>
    </row>
    <row r="447" spans="1:18" x14ac:dyDescent="0.2">
      <c r="A447" s="38"/>
      <c r="B447" s="38"/>
      <c r="C447" s="38"/>
      <c r="R447" s="38"/>
    </row>
    <row r="448" spans="1:18" x14ac:dyDescent="0.2">
      <c r="A448" s="38"/>
      <c r="B448" s="38"/>
      <c r="C448" s="38"/>
      <c r="R448" s="38"/>
    </row>
    <row r="449" spans="1:18" x14ac:dyDescent="0.2">
      <c r="A449" s="38"/>
      <c r="B449" s="38"/>
      <c r="C449" s="38"/>
      <c r="R449" s="38"/>
    </row>
    <row r="450" spans="1:18" x14ac:dyDescent="0.2">
      <c r="A450" s="38"/>
      <c r="B450" s="38"/>
      <c r="C450" s="38"/>
      <c r="R450" s="38"/>
    </row>
    <row r="451" spans="1:18" x14ac:dyDescent="0.2">
      <c r="A451" s="38"/>
      <c r="B451" s="38"/>
      <c r="C451" s="38"/>
      <c r="R451" s="38"/>
    </row>
    <row r="452" spans="1:18" x14ac:dyDescent="0.2">
      <c r="A452" s="38"/>
      <c r="B452" s="38"/>
      <c r="C452" s="38"/>
      <c r="R452" s="38"/>
    </row>
    <row r="453" spans="1:18" x14ac:dyDescent="0.2">
      <c r="A453" s="38"/>
      <c r="B453" s="38"/>
      <c r="C453" s="38"/>
      <c r="R453" s="38"/>
    </row>
    <row r="454" spans="1:18" x14ac:dyDescent="0.2">
      <c r="A454" s="38"/>
      <c r="B454" s="38"/>
      <c r="C454" s="38"/>
      <c r="R454" s="38"/>
    </row>
    <row r="455" spans="1:18" x14ac:dyDescent="0.2">
      <c r="A455" s="38"/>
      <c r="B455" s="38"/>
      <c r="C455" s="38"/>
      <c r="R455" s="38"/>
    </row>
    <row r="456" spans="1:18" x14ac:dyDescent="0.2">
      <c r="A456" s="38"/>
      <c r="B456" s="38"/>
      <c r="C456" s="38"/>
      <c r="R456" s="38"/>
    </row>
    <row r="457" spans="1:18" x14ac:dyDescent="0.2">
      <c r="A457" s="38"/>
      <c r="B457" s="38"/>
      <c r="C457" s="38"/>
      <c r="R457" s="38"/>
    </row>
    <row r="458" spans="1:18" x14ac:dyDescent="0.2">
      <c r="A458" s="38"/>
      <c r="B458" s="38"/>
      <c r="C458" s="38"/>
      <c r="R458" s="38"/>
    </row>
    <row r="459" spans="1:18" x14ac:dyDescent="0.2">
      <c r="A459" s="38"/>
      <c r="B459" s="38"/>
      <c r="C459" s="38"/>
      <c r="R459" s="38"/>
    </row>
    <row r="460" spans="1:18" x14ac:dyDescent="0.2">
      <c r="A460" s="38"/>
      <c r="B460" s="38"/>
      <c r="C460" s="38"/>
      <c r="R460" s="38"/>
    </row>
    <row r="461" spans="1:18" x14ac:dyDescent="0.2">
      <c r="A461" s="38"/>
      <c r="B461" s="38"/>
      <c r="C461" s="38"/>
      <c r="R461" s="38"/>
    </row>
    <row r="462" spans="1:18" x14ac:dyDescent="0.2">
      <c r="A462" s="38"/>
      <c r="B462" s="38"/>
      <c r="C462" s="38"/>
      <c r="R462" s="38"/>
    </row>
    <row r="463" spans="1:18" x14ac:dyDescent="0.2">
      <c r="A463" s="38"/>
      <c r="B463" s="38"/>
      <c r="C463" s="38"/>
      <c r="R463" s="38"/>
    </row>
    <row r="464" spans="1:18" x14ac:dyDescent="0.2">
      <c r="A464" s="38"/>
      <c r="B464" s="38"/>
      <c r="C464" s="38"/>
      <c r="R464" s="38"/>
    </row>
    <row r="465" spans="1:18" x14ac:dyDescent="0.2">
      <c r="A465" s="38"/>
      <c r="B465" s="38"/>
      <c r="C465" s="38"/>
      <c r="R465" s="38"/>
    </row>
    <row r="466" spans="1:18" x14ac:dyDescent="0.2">
      <c r="A466" s="38"/>
      <c r="B466" s="38"/>
      <c r="C466" s="38"/>
      <c r="R466" s="38"/>
    </row>
    <row r="467" spans="1:18" x14ac:dyDescent="0.2">
      <c r="A467" s="38"/>
      <c r="B467" s="38"/>
      <c r="C467" s="38"/>
      <c r="R467" s="38"/>
    </row>
    <row r="468" spans="1:18" x14ac:dyDescent="0.2">
      <c r="A468" s="38"/>
      <c r="B468" s="38"/>
      <c r="C468" s="38"/>
      <c r="R468" s="38"/>
    </row>
    <row r="469" spans="1:18" x14ac:dyDescent="0.2">
      <c r="A469" s="38"/>
      <c r="B469" s="38"/>
      <c r="C469" s="38"/>
      <c r="R469" s="38"/>
    </row>
    <row r="470" spans="1:18" x14ac:dyDescent="0.2">
      <c r="A470" s="38"/>
      <c r="B470" s="38"/>
      <c r="C470" s="38"/>
      <c r="R470" s="38"/>
    </row>
    <row r="471" spans="1:18" x14ac:dyDescent="0.2">
      <c r="A471" s="38"/>
      <c r="B471" s="38"/>
      <c r="C471" s="38"/>
      <c r="R471" s="38"/>
    </row>
    <row r="472" spans="1:18" x14ac:dyDescent="0.2">
      <c r="A472" s="38"/>
      <c r="B472" s="38"/>
      <c r="C472" s="38"/>
      <c r="R472" s="38"/>
    </row>
    <row r="473" spans="1:18" x14ac:dyDescent="0.2">
      <c r="A473" s="38"/>
      <c r="B473" s="38"/>
      <c r="C473" s="38"/>
      <c r="R473" s="38"/>
    </row>
    <row r="474" spans="1:18" x14ac:dyDescent="0.2">
      <c r="A474" s="38"/>
      <c r="B474" s="38"/>
      <c r="C474" s="38"/>
      <c r="R474" s="38"/>
    </row>
    <row r="475" spans="1:18" x14ac:dyDescent="0.2">
      <c r="A475" s="38"/>
      <c r="B475" s="38"/>
      <c r="C475" s="38"/>
      <c r="R475" s="38"/>
    </row>
    <row r="476" spans="1:18" x14ac:dyDescent="0.2">
      <c r="A476" s="38"/>
      <c r="B476" s="38"/>
      <c r="C476" s="38"/>
      <c r="R476" s="38"/>
    </row>
    <row r="477" spans="1:18" x14ac:dyDescent="0.2">
      <c r="A477" s="38"/>
      <c r="B477" s="38"/>
      <c r="C477" s="38"/>
      <c r="R477" s="38"/>
    </row>
    <row r="478" spans="1:18" x14ac:dyDescent="0.2">
      <c r="A478" s="38"/>
      <c r="B478" s="38"/>
      <c r="C478" s="38"/>
      <c r="R478" s="38"/>
    </row>
    <row r="479" spans="1:18" x14ac:dyDescent="0.2">
      <c r="A479" s="38"/>
      <c r="B479" s="38"/>
      <c r="C479" s="38"/>
      <c r="R479" s="38"/>
    </row>
    <row r="480" spans="1:18" x14ac:dyDescent="0.2">
      <c r="A480" s="38"/>
      <c r="B480" s="38"/>
      <c r="C480" s="38"/>
      <c r="R480" s="38"/>
    </row>
    <row r="481" spans="1:18" x14ac:dyDescent="0.2">
      <c r="A481" s="38"/>
      <c r="B481" s="38"/>
      <c r="C481" s="38"/>
      <c r="R481" s="38"/>
    </row>
    <row r="482" spans="1:18" x14ac:dyDescent="0.2">
      <c r="A482" s="38"/>
      <c r="B482" s="38"/>
      <c r="C482" s="38"/>
      <c r="R482" s="38"/>
    </row>
    <row r="483" spans="1:18" x14ac:dyDescent="0.2">
      <c r="A483" s="38"/>
      <c r="B483" s="38"/>
      <c r="C483" s="38"/>
      <c r="R483" s="38"/>
    </row>
    <row r="484" spans="1:18" x14ac:dyDescent="0.2">
      <c r="A484" s="38"/>
      <c r="B484" s="38"/>
      <c r="C484" s="38"/>
      <c r="R484" s="38"/>
    </row>
    <row r="485" spans="1:18" x14ac:dyDescent="0.2">
      <c r="A485" s="38"/>
      <c r="B485" s="38"/>
      <c r="C485" s="38"/>
      <c r="R485" s="38"/>
    </row>
    <row r="486" spans="1:18" x14ac:dyDescent="0.2">
      <c r="A486" s="38"/>
      <c r="B486" s="38"/>
      <c r="C486" s="38"/>
      <c r="R486" s="38"/>
    </row>
    <row r="487" spans="1:18" x14ac:dyDescent="0.2">
      <c r="A487" s="38"/>
      <c r="B487" s="38"/>
      <c r="C487" s="38"/>
      <c r="R487" s="38"/>
    </row>
    <row r="488" spans="1:18" x14ac:dyDescent="0.2">
      <c r="A488" s="38"/>
      <c r="B488" s="38"/>
      <c r="C488" s="38"/>
      <c r="R488" s="38"/>
    </row>
    <row r="489" spans="1:18" x14ac:dyDescent="0.2">
      <c r="A489" s="38"/>
      <c r="B489" s="38"/>
      <c r="C489" s="38"/>
      <c r="R489" s="38"/>
    </row>
    <row r="490" spans="1:18" x14ac:dyDescent="0.2">
      <c r="A490" s="38"/>
      <c r="B490" s="38"/>
      <c r="C490" s="38"/>
      <c r="R490" s="38"/>
    </row>
    <row r="491" spans="1:18" x14ac:dyDescent="0.2">
      <c r="A491" s="38"/>
      <c r="B491" s="38"/>
      <c r="C491" s="38"/>
      <c r="R491" s="38"/>
    </row>
    <row r="492" spans="1:18" x14ac:dyDescent="0.2">
      <c r="A492" s="38"/>
      <c r="B492" s="38"/>
      <c r="C492" s="38"/>
      <c r="R492" s="38"/>
    </row>
    <row r="493" spans="1:18" x14ac:dyDescent="0.2">
      <c r="A493" s="38"/>
      <c r="B493" s="38"/>
      <c r="C493" s="38"/>
      <c r="R493" s="38"/>
    </row>
    <row r="494" spans="1:18" x14ac:dyDescent="0.2">
      <c r="A494" s="38"/>
      <c r="B494" s="38"/>
      <c r="C494" s="38"/>
      <c r="R494" s="38"/>
    </row>
    <row r="495" spans="1:18" x14ac:dyDescent="0.2">
      <c r="A495" s="38"/>
      <c r="B495" s="38"/>
      <c r="C495" s="38"/>
      <c r="R495" s="38"/>
    </row>
    <row r="496" spans="1:18" x14ac:dyDescent="0.2">
      <c r="A496" s="38"/>
      <c r="B496" s="38"/>
      <c r="C496" s="38"/>
      <c r="R496" s="38"/>
    </row>
    <row r="497" spans="1:18" x14ac:dyDescent="0.2">
      <c r="A497" s="38"/>
      <c r="B497" s="38"/>
      <c r="C497" s="38"/>
      <c r="R497" s="38"/>
    </row>
    <row r="498" spans="1:18" x14ac:dyDescent="0.2">
      <c r="A498" s="38"/>
      <c r="B498" s="38"/>
      <c r="C498" s="38"/>
      <c r="R498" s="38"/>
    </row>
    <row r="499" spans="1:18" x14ac:dyDescent="0.2">
      <c r="A499" s="38"/>
      <c r="B499" s="38"/>
      <c r="C499" s="38"/>
      <c r="R499" s="38"/>
    </row>
    <row r="500" spans="1:18" x14ac:dyDescent="0.2">
      <c r="A500" s="38"/>
      <c r="B500" s="38"/>
      <c r="C500" s="38"/>
      <c r="R500" s="38"/>
    </row>
    <row r="501" spans="1:18" x14ac:dyDescent="0.2">
      <c r="A501" s="38"/>
      <c r="B501" s="38"/>
      <c r="C501" s="38"/>
      <c r="R501" s="38"/>
    </row>
    <row r="502" spans="1:18" x14ac:dyDescent="0.2">
      <c r="A502" s="38"/>
      <c r="B502" s="38"/>
      <c r="C502" s="38"/>
      <c r="R502" s="38"/>
    </row>
    <row r="503" spans="1:18" x14ac:dyDescent="0.2">
      <c r="A503" s="38"/>
      <c r="B503" s="38"/>
      <c r="C503" s="38"/>
      <c r="R503" s="38"/>
    </row>
    <row r="504" spans="1:18" x14ac:dyDescent="0.2">
      <c r="A504" s="38"/>
      <c r="B504" s="38"/>
      <c r="C504" s="38"/>
      <c r="R504" s="38"/>
    </row>
    <row r="505" spans="1:18" x14ac:dyDescent="0.2">
      <c r="A505" s="38"/>
      <c r="B505" s="38"/>
      <c r="C505" s="38"/>
      <c r="R505" s="38"/>
    </row>
    <row r="506" spans="1:18" x14ac:dyDescent="0.2">
      <c r="A506" s="38"/>
      <c r="B506" s="38"/>
      <c r="C506" s="38"/>
      <c r="R506" s="38"/>
    </row>
    <row r="507" spans="1:18" x14ac:dyDescent="0.2">
      <c r="A507" s="38"/>
      <c r="B507" s="38"/>
      <c r="C507" s="38"/>
      <c r="R507" s="38"/>
    </row>
    <row r="508" spans="1:18" x14ac:dyDescent="0.2">
      <c r="A508" s="38"/>
      <c r="B508" s="38"/>
      <c r="C508" s="38"/>
      <c r="R508" s="38"/>
    </row>
    <row r="509" spans="1:18" x14ac:dyDescent="0.2">
      <c r="A509" s="38"/>
      <c r="B509" s="38"/>
      <c r="C509" s="38"/>
      <c r="R509" s="38"/>
    </row>
    <row r="510" spans="1:18" x14ac:dyDescent="0.2">
      <c r="A510" s="38"/>
      <c r="B510" s="38"/>
      <c r="C510" s="38"/>
      <c r="R510" s="38"/>
    </row>
    <row r="511" spans="1:18" x14ac:dyDescent="0.2">
      <c r="A511" s="38"/>
      <c r="B511" s="38"/>
      <c r="C511" s="38"/>
      <c r="R511" s="38"/>
    </row>
    <row r="512" spans="1:18" x14ac:dyDescent="0.2">
      <c r="A512" s="38"/>
      <c r="B512" s="38"/>
      <c r="C512" s="38"/>
      <c r="R512" s="38"/>
    </row>
    <row r="513" spans="1:18" x14ac:dyDescent="0.2">
      <c r="A513" s="38"/>
      <c r="B513" s="38"/>
      <c r="C513" s="38"/>
      <c r="R513" s="38"/>
    </row>
    <row r="514" spans="1:18" x14ac:dyDescent="0.2">
      <c r="A514" s="38"/>
      <c r="B514" s="38"/>
      <c r="C514" s="38"/>
      <c r="R514" s="38"/>
    </row>
    <row r="515" spans="1:18" x14ac:dyDescent="0.2">
      <c r="A515" s="38"/>
      <c r="B515" s="38"/>
      <c r="C515" s="38"/>
      <c r="R515" s="38"/>
    </row>
    <row r="516" spans="1:18" x14ac:dyDescent="0.2">
      <c r="A516" s="38"/>
      <c r="B516" s="38"/>
      <c r="C516" s="38"/>
      <c r="R516" s="38"/>
    </row>
    <row r="517" spans="1:18" x14ac:dyDescent="0.2">
      <c r="A517" s="38"/>
      <c r="B517" s="38"/>
      <c r="C517" s="38"/>
      <c r="R517" s="38"/>
    </row>
    <row r="518" spans="1:18" x14ac:dyDescent="0.2">
      <c r="A518" s="38"/>
      <c r="B518" s="38"/>
      <c r="C518" s="38"/>
      <c r="R518" s="38"/>
    </row>
    <row r="519" spans="1:18" x14ac:dyDescent="0.2">
      <c r="A519" s="38"/>
      <c r="B519" s="38"/>
      <c r="C519" s="38"/>
      <c r="R519" s="38"/>
    </row>
    <row r="520" spans="1:18" x14ac:dyDescent="0.2">
      <c r="A520" s="38"/>
      <c r="B520" s="38"/>
      <c r="C520" s="38"/>
      <c r="R520" s="38"/>
    </row>
    <row r="521" spans="1:18" x14ac:dyDescent="0.2">
      <c r="A521" s="38"/>
      <c r="B521" s="38"/>
      <c r="C521" s="38"/>
      <c r="R521" s="38"/>
    </row>
    <row r="522" spans="1:18" x14ac:dyDescent="0.2">
      <c r="A522" s="38"/>
      <c r="B522" s="38"/>
      <c r="C522" s="38"/>
      <c r="R522" s="38"/>
    </row>
    <row r="523" spans="1:18" x14ac:dyDescent="0.2">
      <c r="A523" s="38"/>
      <c r="B523" s="38"/>
      <c r="C523" s="38"/>
      <c r="R523" s="38"/>
    </row>
    <row r="524" spans="1:18" x14ac:dyDescent="0.2">
      <c r="A524" s="38"/>
      <c r="B524" s="38"/>
      <c r="C524" s="38"/>
      <c r="R524" s="38"/>
    </row>
    <row r="525" spans="1:18" x14ac:dyDescent="0.2">
      <c r="A525" s="38"/>
      <c r="B525" s="38"/>
      <c r="C525" s="38"/>
      <c r="R525" s="38"/>
    </row>
    <row r="526" spans="1:18" x14ac:dyDescent="0.2">
      <c r="A526" s="38"/>
      <c r="B526" s="38"/>
      <c r="C526" s="38"/>
      <c r="R526" s="38"/>
    </row>
    <row r="527" spans="1:18" x14ac:dyDescent="0.2">
      <c r="A527" s="38"/>
      <c r="B527" s="38"/>
      <c r="C527" s="38"/>
      <c r="R527" s="38"/>
    </row>
    <row r="528" spans="1:18" x14ac:dyDescent="0.2">
      <c r="A528" s="38"/>
      <c r="B528" s="38"/>
      <c r="C528" s="38"/>
      <c r="R528" s="38"/>
    </row>
    <row r="529" spans="1:18" x14ac:dyDescent="0.2">
      <c r="A529" s="38"/>
      <c r="B529" s="38"/>
      <c r="C529" s="38"/>
      <c r="R529" s="38"/>
    </row>
    <row r="530" spans="1:18" x14ac:dyDescent="0.2">
      <c r="A530" s="38"/>
      <c r="B530" s="38"/>
      <c r="C530" s="38"/>
      <c r="R530" s="38"/>
    </row>
    <row r="531" spans="1:18" x14ac:dyDescent="0.2">
      <c r="A531" s="38"/>
      <c r="B531" s="38"/>
      <c r="C531" s="38"/>
      <c r="R531" s="38"/>
    </row>
    <row r="532" spans="1:18" x14ac:dyDescent="0.2">
      <c r="A532" s="38"/>
      <c r="B532" s="38"/>
      <c r="C532" s="38"/>
      <c r="R532" s="38"/>
    </row>
    <row r="533" spans="1:18" x14ac:dyDescent="0.2">
      <c r="A533" s="38"/>
      <c r="B533" s="38"/>
      <c r="C533" s="38"/>
      <c r="R533" s="38"/>
    </row>
    <row r="534" spans="1:18" x14ac:dyDescent="0.2">
      <c r="A534" s="38"/>
      <c r="B534" s="38"/>
      <c r="C534" s="38"/>
      <c r="R534" s="38"/>
    </row>
    <row r="535" spans="1:18" x14ac:dyDescent="0.2">
      <c r="A535" s="38"/>
      <c r="B535" s="38"/>
      <c r="C535" s="38"/>
      <c r="R535" s="38"/>
    </row>
    <row r="536" spans="1:18" x14ac:dyDescent="0.2">
      <c r="A536" s="38"/>
      <c r="B536" s="38"/>
      <c r="C536" s="38"/>
      <c r="R536" s="38"/>
    </row>
    <row r="537" spans="1:18" x14ac:dyDescent="0.2">
      <c r="A537" s="38"/>
      <c r="B537" s="38"/>
      <c r="C537" s="38"/>
      <c r="R537" s="38"/>
    </row>
    <row r="538" spans="1:18" x14ac:dyDescent="0.2">
      <c r="A538" s="38"/>
      <c r="B538" s="38"/>
      <c r="C538" s="38"/>
      <c r="R538" s="38"/>
    </row>
    <row r="539" spans="1:18" x14ac:dyDescent="0.2">
      <c r="A539" s="38"/>
      <c r="B539" s="38"/>
      <c r="C539" s="38"/>
      <c r="R539" s="38"/>
    </row>
    <row r="540" spans="1:18" x14ac:dyDescent="0.2">
      <c r="A540" s="38"/>
      <c r="B540" s="38"/>
      <c r="C540" s="38"/>
      <c r="R540" s="38"/>
    </row>
    <row r="541" spans="1:18" x14ac:dyDescent="0.2">
      <c r="A541" s="38"/>
      <c r="B541" s="38"/>
      <c r="C541" s="38"/>
      <c r="R541" s="38"/>
    </row>
    <row r="542" spans="1:18" x14ac:dyDescent="0.2">
      <c r="A542" s="38"/>
      <c r="B542" s="38"/>
      <c r="C542" s="38"/>
      <c r="R542" s="38"/>
    </row>
    <row r="543" spans="1:18" x14ac:dyDescent="0.2">
      <c r="A543" s="38"/>
      <c r="B543" s="38"/>
      <c r="C543" s="38"/>
      <c r="R543" s="38"/>
    </row>
    <row r="544" spans="1:18" x14ac:dyDescent="0.2">
      <c r="A544" s="38"/>
      <c r="B544" s="38"/>
      <c r="C544" s="38"/>
      <c r="R544" s="38"/>
    </row>
    <row r="545" spans="1:18" x14ac:dyDescent="0.2">
      <c r="A545" s="38"/>
      <c r="B545" s="38"/>
      <c r="C545" s="38"/>
      <c r="R545" s="38"/>
    </row>
    <row r="546" spans="1:18" x14ac:dyDescent="0.2">
      <c r="A546" s="38"/>
      <c r="B546" s="38"/>
      <c r="C546" s="38"/>
      <c r="R546" s="38"/>
    </row>
    <row r="547" spans="1:18" x14ac:dyDescent="0.2">
      <c r="A547" s="38"/>
      <c r="B547" s="38"/>
      <c r="C547" s="38"/>
      <c r="R547" s="38"/>
    </row>
    <row r="548" spans="1:18" x14ac:dyDescent="0.2">
      <c r="A548" s="38"/>
      <c r="B548" s="38"/>
      <c r="C548" s="38"/>
      <c r="R548" s="38"/>
    </row>
    <row r="549" spans="1:18" x14ac:dyDescent="0.2">
      <c r="A549" s="38"/>
      <c r="B549" s="38"/>
      <c r="C549" s="38"/>
      <c r="R549" s="38"/>
    </row>
    <row r="550" spans="1:18" x14ac:dyDescent="0.2">
      <c r="A550" s="38"/>
      <c r="B550" s="38"/>
      <c r="C550" s="38"/>
      <c r="R550" s="38"/>
    </row>
    <row r="551" spans="1:18" x14ac:dyDescent="0.2">
      <c r="A551" s="38"/>
      <c r="B551" s="38"/>
      <c r="C551" s="38"/>
      <c r="R551" s="38"/>
    </row>
    <row r="552" spans="1:18" x14ac:dyDescent="0.2">
      <c r="A552" s="38"/>
      <c r="B552" s="38"/>
      <c r="C552" s="38"/>
      <c r="R552" s="38"/>
    </row>
    <row r="553" spans="1:18" x14ac:dyDescent="0.2">
      <c r="A553" s="38"/>
      <c r="B553" s="38"/>
      <c r="C553" s="38"/>
      <c r="R553" s="38"/>
    </row>
    <row r="554" spans="1:18" x14ac:dyDescent="0.2">
      <c r="A554" s="38"/>
      <c r="B554" s="38"/>
      <c r="C554" s="38"/>
      <c r="R554" s="38"/>
    </row>
    <row r="555" spans="1:18" x14ac:dyDescent="0.2">
      <c r="A555" s="38"/>
      <c r="B555" s="38"/>
      <c r="C555" s="38"/>
      <c r="R555" s="38"/>
    </row>
    <row r="556" spans="1:18" x14ac:dyDescent="0.2">
      <c r="A556" s="38"/>
      <c r="B556" s="38"/>
      <c r="C556" s="38"/>
      <c r="R556" s="38"/>
    </row>
    <row r="557" spans="1:18" x14ac:dyDescent="0.2">
      <c r="A557" s="38"/>
      <c r="B557" s="38"/>
      <c r="C557" s="38"/>
      <c r="R557" s="38"/>
    </row>
    <row r="558" spans="1:18" x14ac:dyDescent="0.2">
      <c r="A558" s="38"/>
      <c r="B558" s="38"/>
      <c r="C558" s="38"/>
      <c r="R558" s="38"/>
    </row>
    <row r="559" spans="1:18" x14ac:dyDescent="0.2">
      <c r="A559" s="38"/>
      <c r="B559" s="38"/>
      <c r="C559" s="38"/>
      <c r="R559" s="38"/>
    </row>
    <row r="560" spans="1:18" x14ac:dyDescent="0.2">
      <c r="A560" s="38"/>
      <c r="B560" s="38"/>
      <c r="C560" s="38"/>
      <c r="R560" s="38"/>
    </row>
    <row r="561" spans="1:18" x14ac:dyDescent="0.2">
      <c r="A561" s="38"/>
      <c r="B561" s="38"/>
      <c r="C561" s="38"/>
      <c r="R561" s="38"/>
    </row>
    <row r="562" spans="1:18" x14ac:dyDescent="0.2">
      <c r="A562" s="38"/>
      <c r="B562" s="38"/>
      <c r="C562" s="38"/>
      <c r="R562" s="38"/>
    </row>
    <row r="563" spans="1:18" x14ac:dyDescent="0.2">
      <c r="A563" s="38"/>
      <c r="B563" s="38"/>
      <c r="C563" s="38"/>
      <c r="R563" s="38"/>
    </row>
    <row r="564" spans="1:18" x14ac:dyDescent="0.2">
      <c r="A564" s="38"/>
      <c r="B564" s="38"/>
      <c r="C564" s="38"/>
      <c r="R564" s="38"/>
    </row>
    <row r="565" spans="1:18" x14ac:dyDescent="0.2">
      <c r="A565" s="38"/>
      <c r="B565" s="38"/>
      <c r="C565" s="38"/>
      <c r="R565" s="38"/>
    </row>
    <row r="566" spans="1:18" x14ac:dyDescent="0.2">
      <c r="A566" s="38"/>
      <c r="B566" s="38"/>
      <c r="C566" s="38"/>
      <c r="R566" s="38"/>
    </row>
    <row r="567" spans="1:18" x14ac:dyDescent="0.2">
      <c r="A567" s="38"/>
      <c r="B567" s="38"/>
      <c r="C567" s="38"/>
      <c r="R567" s="38"/>
    </row>
    <row r="568" spans="1:18" x14ac:dyDescent="0.2">
      <c r="A568" s="38"/>
      <c r="B568" s="38"/>
      <c r="C568" s="38"/>
      <c r="R568" s="38"/>
    </row>
    <row r="569" spans="1:18" x14ac:dyDescent="0.2">
      <c r="A569" s="38"/>
      <c r="B569" s="38"/>
      <c r="C569" s="38"/>
      <c r="R569" s="38"/>
    </row>
    <row r="570" spans="1:18" x14ac:dyDescent="0.2">
      <c r="A570" s="38"/>
      <c r="B570" s="38"/>
      <c r="C570" s="38"/>
      <c r="R570" s="38"/>
    </row>
    <row r="571" spans="1:18" x14ac:dyDescent="0.2">
      <c r="A571" s="38"/>
      <c r="B571" s="38"/>
      <c r="C571" s="38"/>
      <c r="R571" s="38"/>
    </row>
    <row r="572" spans="1:18" x14ac:dyDescent="0.2">
      <c r="A572" s="38"/>
      <c r="B572" s="38"/>
      <c r="C572" s="38"/>
      <c r="R572" s="38"/>
    </row>
    <row r="573" spans="1:18" x14ac:dyDescent="0.2">
      <c r="A573" s="38"/>
      <c r="B573" s="38"/>
      <c r="C573" s="38"/>
      <c r="R573" s="38"/>
    </row>
    <row r="574" spans="1:18" x14ac:dyDescent="0.2">
      <c r="A574" s="38"/>
      <c r="B574" s="38"/>
      <c r="C574" s="38"/>
      <c r="R574" s="38"/>
    </row>
    <row r="575" spans="1:18" x14ac:dyDescent="0.2">
      <c r="A575" s="38"/>
      <c r="B575" s="38"/>
      <c r="C575" s="38"/>
      <c r="R575" s="38"/>
    </row>
    <row r="576" spans="1:18" x14ac:dyDescent="0.2">
      <c r="A576" s="38"/>
      <c r="B576" s="38"/>
      <c r="C576" s="38"/>
      <c r="R576" s="38"/>
    </row>
    <row r="577" spans="1:18" x14ac:dyDescent="0.2">
      <c r="A577" s="38"/>
      <c r="B577" s="38"/>
      <c r="C577" s="38"/>
      <c r="R577" s="38"/>
    </row>
    <row r="578" spans="1:18" x14ac:dyDescent="0.2">
      <c r="A578" s="38"/>
      <c r="B578" s="38"/>
      <c r="C578" s="38"/>
      <c r="R578" s="38"/>
    </row>
    <row r="579" spans="1:18" x14ac:dyDescent="0.2">
      <c r="A579" s="38"/>
      <c r="B579" s="38"/>
      <c r="C579" s="38"/>
      <c r="R579" s="38"/>
    </row>
    <row r="580" spans="1:18" x14ac:dyDescent="0.2">
      <c r="A580" s="38"/>
      <c r="B580" s="38"/>
      <c r="C580" s="38"/>
      <c r="R580" s="38"/>
    </row>
    <row r="581" spans="1:18" x14ac:dyDescent="0.2">
      <c r="A581" s="38"/>
      <c r="B581" s="38"/>
      <c r="C581" s="38"/>
      <c r="R581" s="38"/>
    </row>
    <row r="582" spans="1:18" x14ac:dyDescent="0.2">
      <c r="A582" s="38"/>
      <c r="B582" s="38"/>
      <c r="C582" s="38"/>
      <c r="R582" s="38"/>
    </row>
    <row r="583" spans="1:18" x14ac:dyDescent="0.2">
      <c r="A583" s="38"/>
      <c r="B583" s="38"/>
      <c r="C583" s="38"/>
      <c r="R583" s="38"/>
    </row>
    <row r="584" spans="1:18" x14ac:dyDescent="0.2">
      <c r="A584" s="38"/>
      <c r="B584" s="38"/>
      <c r="C584" s="38"/>
      <c r="R584" s="38"/>
    </row>
    <row r="585" spans="1:18" x14ac:dyDescent="0.2">
      <c r="A585" s="38"/>
      <c r="B585" s="38"/>
      <c r="C585" s="38"/>
      <c r="R585" s="38"/>
    </row>
    <row r="586" spans="1:18" x14ac:dyDescent="0.2">
      <c r="A586" s="38"/>
      <c r="B586" s="38"/>
      <c r="C586" s="38"/>
      <c r="R586" s="38"/>
    </row>
    <row r="587" spans="1:18" x14ac:dyDescent="0.2">
      <c r="A587" s="38"/>
      <c r="B587" s="38"/>
      <c r="C587" s="38"/>
      <c r="R587" s="38"/>
    </row>
    <row r="588" spans="1:18" x14ac:dyDescent="0.2">
      <c r="A588" s="38"/>
      <c r="B588" s="38"/>
      <c r="C588" s="38"/>
      <c r="R588" s="38"/>
    </row>
    <row r="589" spans="1:18" x14ac:dyDescent="0.2">
      <c r="A589" s="38"/>
      <c r="B589" s="38"/>
      <c r="C589" s="38"/>
      <c r="R589" s="38"/>
    </row>
    <row r="590" spans="1:18" x14ac:dyDescent="0.2">
      <c r="A590" s="38"/>
      <c r="B590" s="38"/>
      <c r="C590" s="38"/>
      <c r="R590" s="38"/>
    </row>
    <row r="591" spans="1:18" x14ac:dyDescent="0.2">
      <c r="A591" s="38"/>
      <c r="B591" s="38"/>
      <c r="C591" s="38"/>
      <c r="R591" s="38"/>
    </row>
    <row r="592" spans="1:18" x14ac:dyDescent="0.2">
      <c r="A592" s="38"/>
      <c r="B592" s="38"/>
      <c r="C592" s="38"/>
      <c r="R592" s="38"/>
    </row>
    <row r="593" spans="1:18" x14ac:dyDescent="0.2">
      <c r="A593" s="38"/>
      <c r="B593" s="38"/>
      <c r="C593" s="38"/>
      <c r="R593" s="38"/>
    </row>
    <row r="594" spans="1:18" x14ac:dyDescent="0.2">
      <c r="A594" s="38"/>
      <c r="B594" s="38"/>
      <c r="C594" s="38"/>
      <c r="R594" s="38"/>
    </row>
    <row r="595" spans="1:18" x14ac:dyDescent="0.2">
      <c r="A595" s="38"/>
      <c r="B595" s="38"/>
      <c r="C595" s="38"/>
      <c r="R595" s="38"/>
    </row>
    <row r="596" spans="1:18" x14ac:dyDescent="0.2">
      <c r="A596" s="38"/>
      <c r="B596" s="38"/>
      <c r="C596" s="38"/>
      <c r="R596" s="38"/>
    </row>
    <row r="597" spans="1:18" x14ac:dyDescent="0.2">
      <c r="A597" s="38"/>
      <c r="B597" s="38"/>
      <c r="C597" s="38"/>
      <c r="R597" s="38"/>
    </row>
    <row r="598" spans="1:18" x14ac:dyDescent="0.2">
      <c r="A598" s="38"/>
      <c r="B598" s="38"/>
      <c r="C598" s="38"/>
      <c r="R598" s="38"/>
    </row>
    <row r="599" spans="1:18" x14ac:dyDescent="0.2">
      <c r="A599" s="38"/>
      <c r="B599" s="38"/>
      <c r="C599" s="38"/>
      <c r="R599" s="38"/>
    </row>
    <row r="600" spans="1:18" x14ac:dyDescent="0.2">
      <c r="A600" s="38"/>
      <c r="B600" s="38"/>
      <c r="C600" s="38"/>
      <c r="R600" s="38"/>
    </row>
    <row r="601" spans="1:18" x14ac:dyDescent="0.2">
      <c r="A601" s="38"/>
      <c r="B601" s="38"/>
      <c r="C601" s="38"/>
      <c r="R601" s="38"/>
    </row>
  </sheetData>
  <mergeCells count="16">
    <mergeCell ref="B4:B7"/>
    <mergeCell ref="A4:A7"/>
    <mergeCell ref="Q1:S1"/>
    <mergeCell ref="D4:I4"/>
    <mergeCell ref="J5:K6"/>
    <mergeCell ref="L5:N5"/>
    <mergeCell ref="N6:N7"/>
    <mergeCell ref="L6:M6"/>
    <mergeCell ref="Q4:R6"/>
    <mergeCell ref="S4:S7"/>
    <mergeCell ref="D5:E6"/>
    <mergeCell ref="F5:G6"/>
    <mergeCell ref="H5:I6"/>
    <mergeCell ref="J4:N4"/>
    <mergeCell ref="O4:P6"/>
    <mergeCell ref="F2:M2"/>
  </mergeCells>
  <pageMargins left="0.23622047244094491" right="0.23622047244094491" top="0.74803149606299213" bottom="0.74803149606299213" header="0.31496062992125984" footer="0.31496062992125984"/>
  <pageSetup paperSize="9" scale="46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zoomScale="75" zoomScaleNormal="75" workbookViewId="0">
      <pane xSplit="2" ySplit="7" topLeftCell="D8" activePane="bottomRight" state="frozen"/>
      <selection activeCell="B84" sqref="B84"/>
      <selection pane="topRight" activeCell="B84" sqref="B84"/>
      <selection pane="bottomLeft" activeCell="B84" sqref="B84"/>
      <selection pane="bottomRight" activeCell="F89" sqref="F89"/>
    </sheetView>
  </sheetViews>
  <sheetFormatPr defaultRowHeight="15" x14ac:dyDescent="0.25"/>
  <cols>
    <col min="1" max="1" width="4.28515625" style="2" customWidth="1"/>
    <col min="2" max="2" width="55.85546875" style="1" customWidth="1"/>
    <col min="3" max="3" width="15.85546875" style="1" hidden="1" customWidth="1"/>
    <col min="4" max="4" width="16" style="1" customWidth="1"/>
    <col min="5" max="5" width="20.28515625" style="1" customWidth="1"/>
    <col min="6" max="6" width="21.5703125" style="81" bestFit="1" customWidth="1"/>
    <col min="7" max="7" width="26" style="81" customWidth="1"/>
    <col min="8" max="8" width="23.28515625" style="81" customWidth="1"/>
    <col min="9" max="9" width="18.42578125" style="1" customWidth="1"/>
    <col min="10" max="10" width="18.140625" style="1" customWidth="1"/>
    <col min="11" max="11" width="24.140625" style="1" customWidth="1"/>
    <col min="12" max="12" width="13.85546875" style="10" customWidth="1"/>
    <col min="13" max="13" width="14.5703125" style="10" customWidth="1"/>
    <col min="14" max="15" width="13.85546875" style="10" bestFit="1" customWidth="1"/>
    <col min="16" max="16" width="13.28515625" style="10" customWidth="1"/>
    <col min="17" max="19" width="9.140625" style="10" customWidth="1"/>
    <col min="20" max="20" width="14.5703125" style="10" bestFit="1" customWidth="1"/>
    <col min="21" max="23" width="9.140625" style="10"/>
    <col min="24" max="16384" width="9.140625" style="1"/>
  </cols>
  <sheetData>
    <row r="1" spans="1:23" ht="15.75" x14ac:dyDescent="0.25">
      <c r="K1" s="8" t="s">
        <v>144</v>
      </c>
      <c r="L1" s="9"/>
      <c r="M1" s="9"/>
    </row>
    <row r="2" spans="1:23" ht="43.5" customHeight="1" x14ac:dyDescent="0.25">
      <c r="D2" s="134" t="s">
        <v>149</v>
      </c>
      <c r="E2" s="134"/>
      <c r="F2" s="134"/>
      <c r="G2" s="134"/>
      <c r="H2" s="134"/>
    </row>
    <row r="4" spans="1:23" ht="15" customHeight="1" x14ac:dyDescent="0.25">
      <c r="A4" s="121" t="s">
        <v>83</v>
      </c>
      <c r="B4" s="121" t="s">
        <v>84</v>
      </c>
      <c r="C4" s="121" t="s">
        <v>85</v>
      </c>
      <c r="D4" s="121" t="s">
        <v>85</v>
      </c>
      <c r="E4" s="136" t="s">
        <v>86</v>
      </c>
      <c r="F4" s="137"/>
      <c r="G4" s="137"/>
      <c r="H4" s="137"/>
      <c r="I4" s="137"/>
      <c r="J4" s="138"/>
      <c r="K4" s="125" t="s">
        <v>88</v>
      </c>
      <c r="L4" s="11"/>
      <c r="M4" s="11"/>
    </row>
    <row r="5" spans="1:23" x14ac:dyDescent="0.25">
      <c r="A5" s="121"/>
      <c r="B5" s="121"/>
      <c r="C5" s="121"/>
      <c r="D5" s="121"/>
      <c r="E5" s="135" t="s">
        <v>0</v>
      </c>
      <c r="F5" s="128" t="s">
        <v>87</v>
      </c>
      <c r="G5" s="129"/>
      <c r="H5" s="129"/>
      <c r="I5" s="129"/>
      <c r="J5" s="130"/>
      <c r="K5" s="126"/>
      <c r="L5" s="12"/>
      <c r="M5" s="12"/>
    </row>
    <row r="6" spans="1:23" ht="15" customHeight="1" x14ac:dyDescent="0.25">
      <c r="A6" s="121"/>
      <c r="B6" s="121"/>
      <c r="C6" s="121"/>
      <c r="D6" s="121"/>
      <c r="E6" s="135"/>
      <c r="F6" s="131"/>
      <c r="G6" s="132"/>
      <c r="H6" s="132"/>
      <c r="I6" s="132"/>
      <c r="J6" s="133"/>
      <c r="K6" s="126"/>
      <c r="L6" s="11"/>
      <c r="M6" s="11"/>
    </row>
    <row r="7" spans="1:23" s="2" customFormat="1" ht="63.75" x14ac:dyDescent="0.25">
      <c r="A7" s="121"/>
      <c r="B7" s="121"/>
      <c r="C7" s="121"/>
      <c r="D7" s="121"/>
      <c r="E7" s="135"/>
      <c r="F7" s="91" t="s">
        <v>11</v>
      </c>
      <c r="G7" s="91" t="s">
        <v>135</v>
      </c>
      <c r="H7" s="91" t="s">
        <v>140</v>
      </c>
      <c r="I7" s="37" t="s">
        <v>89</v>
      </c>
      <c r="J7" s="37" t="s">
        <v>90</v>
      </c>
      <c r="K7" s="127"/>
      <c r="L7" s="11" t="s">
        <v>153</v>
      </c>
      <c r="M7" s="11" t="s">
        <v>154</v>
      </c>
      <c r="N7" s="13">
        <v>2012</v>
      </c>
      <c r="O7" s="13">
        <v>4</v>
      </c>
      <c r="P7" s="13">
        <v>6</v>
      </c>
      <c r="Q7" s="13">
        <v>5</v>
      </c>
      <c r="R7" s="14" t="s">
        <v>141</v>
      </c>
      <c r="S7" s="13">
        <v>2</v>
      </c>
      <c r="T7" s="13" t="s">
        <v>142</v>
      </c>
      <c r="U7" s="13">
        <v>4</v>
      </c>
      <c r="V7" s="13">
        <v>5</v>
      </c>
      <c r="W7" s="13">
        <v>2</v>
      </c>
    </row>
    <row r="8" spans="1:23" ht="30" x14ac:dyDescent="0.25">
      <c r="A8" s="56">
        <v>1</v>
      </c>
      <c r="B8" s="90" t="s">
        <v>15</v>
      </c>
      <c r="C8" s="56">
        <v>98</v>
      </c>
      <c r="D8" s="56">
        <v>198</v>
      </c>
      <c r="E8" s="60">
        <f>SUM(F8:J8)</f>
        <v>29388.477939999997</v>
      </c>
      <c r="F8" s="106">
        <v>3988.1565700000001</v>
      </c>
      <c r="G8" s="60">
        <v>0</v>
      </c>
      <c r="H8" s="60">
        <v>24728.872309999999</v>
      </c>
      <c r="I8" s="60">
        <f>'[1]Форма 1'!O8</f>
        <v>0</v>
      </c>
      <c r="J8" s="60">
        <v>671.44906000000003</v>
      </c>
      <c r="K8" s="60">
        <v>3736.7018800000001</v>
      </c>
      <c r="L8" s="15">
        <f>(E8-K8)/E8*100</f>
        <v>87.285146622329634</v>
      </c>
      <c r="M8" s="15">
        <f>H8/E8*100</f>
        <v>84.144787492863273</v>
      </c>
      <c r="N8" s="10">
        <f>SUM(O8:S8)</f>
        <v>36500.942996622325</v>
      </c>
      <c r="O8" s="10">
        <v>3061.9271600000002</v>
      </c>
      <c r="Q8" s="19">
        <f>D8+F8+H8+J8+L8+O8</f>
        <v>32735.690246622326</v>
      </c>
      <c r="S8" s="10">
        <v>703.32559000000003</v>
      </c>
      <c r="T8" s="16">
        <f>(E8-K8)/K8*100</f>
        <v>686.48173934603517</v>
      </c>
      <c r="U8" s="10">
        <f t="shared" ref="U8:U39" si="0">(F8-O8)/O8*100</f>
        <v>30.249883867256983</v>
      </c>
      <c r="V8" s="10">
        <f t="shared" ref="V8:V39" si="1">(H8-Q8)/Q8*100</f>
        <v>-24.458986128903977</v>
      </c>
      <c r="W8" s="10">
        <f t="shared" ref="W8:W39" si="2">(J8-S8)/S8*100</f>
        <v>-4.5322579546693307</v>
      </c>
    </row>
    <row r="9" spans="1:23" x14ac:dyDescent="0.25">
      <c r="A9" s="56">
        <v>2</v>
      </c>
      <c r="B9" s="90" t="s">
        <v>16</v>
      </c>
      <c r="C9" s="56">
        <v>67</v>
      </c>
      <c r="D9" s="56">
        <v>130</v>
      </c>
      <c r="E9" s="60">
        <f>SUM(F9:J9)</f>
        <v>14799.075080000002</v>
      </c>
      <c r="F9" s="106">
        <v>3498.7393000000002</v>
      </c>
      <c r="G9" s="60">
        <v>0</v>
      </c>
      <c r="H9" s="60">
        <v>10902.1234</v>
      </c>
      <c r="I9" s="60">
        <f>'[1]Форма 1'!O9</f>
        <v>0</v>
      </c>
      <c r="J9" s="60">
        <v>398.21238</v>
      </c>
      <c r="K9" s="60">
        <v>3333.4280600000002</v>
      </c>
      <c r="L9" s="15">
        <f>(E9-K9)/E9*100</f>
        <v>77.4754297685474</v>
      </c>
      <c r="M9" s="15">
        <f>H9/E9*100</f>
        <v>73.667599772728494</v>
      </c>
      <c r="N9" s="10">
        <f t="shared" ref="N9:N72" si="3">SUM(O9:S9)</f>
        <v>3780.4870900000001</v>
      </c>
      <c r="O9" s="10">
        <v>2940.52207</v>
      </c>
      <c r="Q9" s="10">
        <v>382.19999000000001</v>
      </c>
      <c r="S9" s="10">
        <v>457.76503000000002</v>
      </c>
      <c r="T9" s="10">
        <f>(E9-K9)/K9*100</f>
        <v>343.95963595506549</v>
      </c>
      <c r="U9" s="10">
        <f t="shared" si="0"/>
        <v>18.983609600998513</v>
      </c>
      <c r="V9" s="10">
        <f t="shared" si="1"/>
        <v>2752.4656423983688</v>
      </c>
      <c r="W9" s="10">
        <f t="shared" si="2"/>
        <v>-13.009436304035724</v>
      </c>
    </row>
    <row r="10" spans="1:23" x14ac:dyDescent="0.25">
      <c r="A10" s="56">
        <v>3</v>
      </c>
      <c r="B10" s="90" t="s">
        <v>17</v>
      </c>
      <c r="C10" s="56">
        <v>100</v>
      </c>
      <c r="D10" s="56">
        <v>160</v>
      </c>
      <c r="E10" s="60">
        <f>SUM(F10:J10)</f>
        <v>30773.661530000001</v>
      </c>
      <c r="F10" s="106">
        <v>2851.8760000000002</v>
      </c>
      <c r="G10" s="60">
        <v>0</v>
      </c>
      <c r="H10" s="60">
        <v>27288.35125</v>
      </c>
      <c r="I10" s="60">
        <f>'[1]Форма 1'!O10</f>
        <v>0</v>
      </c>
      <c r="J10" s="60">
        <v>633.43427999999994</v>
      </c>
      <c r="K10" s="60">
        <v>3043.00353</v>
      </c>
      <c r="L10" s="15">
        <f>(E10-K10)/E10*100</f>
        <v>90.111662445388575</v>
      </c>
      <c r="M10" s="15">
        <f>H10/E10*100</f>
        <v>88.674372477248724</v>
      </c>
      <c r="N10" s="10">
        <f t="shared" si="3"/>
        <v>3654.5067799999997</v>
      </c>
      <c r="O10" s="10">
        <v>2676.12599</v>
      </c>
      <c r="Q10" s="10">
        <v>364.91469999999998</v>
      </c>
      <c r="S10" s="10">
        <v>613.46609000000001</v>
      </c>
      <c r="T10" s="10">
        <f>(E10-K10)/K10*100</f>
        <v>911.29233754125835</v>
      </c>
      <c r="U10" s="10">
        <f t="shared" si="0"/>
        <v>6.5673294402704929</v>
      </c>
      <c r="V10" s="10">
        <f t="shared" si="1"/>
        <v>7378.0082167147557</v>
      </c>
      <c r="W10" s="10">
        <f t="shared" si="2"/>
        <v>3.254978608516069</v>
      </c>
    </row>
    <row r="11" spans="1:23" x14ac:dyDescent="0.25">
      <c r="A11" s="56">
        <v>4</v>
      </c>
      <c r="B11" s="90" t="s">
        <v>18</v>
      </c>
      <c r="C11" s="56">
        <v>127</v>
      </c>
      <c r="D11" s="56">
        <v>157</v>
      </c>
      <c r="E11" s="60">
        <f>SUM(F11:J11)</f>
        <v>15732.723089999998</v>
      </c>
      <c r="F11" s="106">
        <v>6059.6519399999997</v>
      </c>
      <c r="G11" s="60">
        <v>0</v>
      </c>
      <c r="H11" s="60">
        <v>8140.2979999999998</v>
      </c>
      <c r="I11" s="60">
        <f>'[1]Форма 1'!O11</f>
        <v>32.073610000000002</v>
      </c>
      <c r="J11" s="60">
        <f>1532.77315-I11</f>
        <v>1500.6995400000001</v>
      </c>
      <c r="K11" s="60">
        <v>9585.7000000000007</v>
      </c>
      <c r="L11" s="15">
        <f>(E11-K11)/E11*100</f>
        <v>39.071577468411398</v>
      </c>
      <c r="M11" s="15">
        <f>H11/E11*100</f>
        <v>51.741189070912462</v>
      </c>
      <c r="N11" s="10">
        <f t="shared" si="3"/>
        <v>11315.36954</v>
      </c>
      <c r="O11" s="10">
        <v>5570.6</v>
      </c>
      <c r="Q11" s="10">
        <v>3947.0857799999999</v>
      </c>
      <c r="S11" s="10">
        <v>1797.6837599999999</v>
      </c>
      <c r="T11" s="10">
        <f>(E11-K11)/K11*100</f>
        <v>64.127013050690053</v>
      </c>
      <c r="U11" s="10">
        <f t="shared" si="0"/>
        <v>8.7791609521415896</v>
      </c>
      <c r="V11" s="10">
        <f t="shared" si="1"/>
        <v>106.23564963414603</v>
      </c>
      <c r="W11" s="10">
        <f t="shared" si="2"/>
        <v>-16.520381760582843</v>
      </c>
    </row>
    <row r="12" spans="1:23" ht="30" x14ac:dyDescent="0.25">
      <c r="A12" s="56">
        <v>5</v>
      </c>
      <c r="B12" s="90" t="s">
        <v>19</v>
      </c>
      <c r="C12" s="56">
        <v>157</v>
      </c>
      <c r="D12" s="56">
        <v>355</v>
      </c>
      <c r="E12" s="60">
        <f>SUM(F12:J12)</f>
        <v>61853.873930000002</v>
      </c>
      <c r="F12" s="106">
        <v>5854.8881600000004</v>
      </c>
      <c r="G12" s="60">
        <v>0</v>
      </c>
      <c r="H12" s="60">
        <v>55030.082450000002</v>
      </c>
      <c r="I12" s="60">
        <f>'[1]Форма 1'!O12</f>
        <v>0</v>
      </c>
      <c r="J12" s="60">
        <v>968.90332000000001</v>
      </c>
      <c r="K12" s="60">
        <v>4989.34872</v>
      </c>
      <c r="L12" s="15">
        <f>(E12-K12)/E12*100</f>
        <v>91.933652004324827</v>
      </c>
      <c r="M12" s="15">
        <f>H12/E12*100</f>
        <v>88.967883421946254</v>
      </c>
      <c r="N12" s="10">
        <f t="shared" si="3"/>
        <v>6139.7788599999994</v>
      </c>
      <c r="O12" s="10">
        <v>4249.8981599999997</v>
      </c>
      <c r="Q12" s="10">
        <v>728.15671999999995</v>
      </c>
      <c r="S12" s="10">
        <v>1161.72398</v>
      </c>
      <c r="T12" s="10">
        <f>(E12-K12)/K12*100</f>
        <v>1139.7183961517126</v>
      </c>
      <c r="U12" s="10">
        <f t="shared" si="0"/>
        <v>37.765375535492851</v>
      </c>
      <c r="V12" s="10">
        <f t="shared" si="1"/>
        <v>7457.4503315714792</v>
      </c>
      <c r="W12" s="10">
        <f t="shared" si="2"/>
        <v>-16.597803206231482</v>
      </c>
    </row>
    <row r="13" spans="1:23" ht="30" x14ac:dyDescent="0.25">
      <c r="A13" s="56">
        <v>6</v>
      </c>
      <c r="B13" s="90" t="s">
        <v>20</v>
      </c>
      <c r="C13" s="56">
        <v>180</v>
      </c>
      <c r="D13" s="56">
        <v>309</v>
      </c>
      <c r="E13" s="60">
        <f>SUM(F13:J13)</f>
        <v>32005.76973</v>
      </c>
      <c r="F13" s="106">
        <v>7077.4723700000004</v>
      </c>
      <c r="G13" s="60">
        <v>0</v>
      </c>
      <c r="H13" s="60">
        <v>23924.40323</v>
      </c>
      <c r="I13" s="60">
        <f>'[1]Форма 1'!O13</f>
        <v>4</v>
      </c>
      <c r="J13" s="60">
        <f>1003.89413-I13</f>
        <v>999.89413000000002</v>
      </c>
      <c r="K13" s="60">
        <v>25210.558819999998</v>
      </c>
      <c r="L13" s="15">
        <f>(E13-K13)/E13*100</f>
        <v>21.231206021052635</v>
      </c>
      <c r="M13" s="15">
        <f>H13/E13*100</f>
        <v>74.750282314175735</v>
      </c>
      <c r="N13" s="10">
        <f t="shared" si="3"/>
        <v>20261.998240000001</v>
      </c>
      <c r="O13" s="10">
        <v>2798.5998100000002</v>
      </c>
      <c r="Q13" s="10">
        <v>16725.7693</v>
      </c>
      <c r="S13" s="10">
        <v>737.62913000000003</v>
      </c>
      <c r="T13" s="10">
        <f>(E13-K13)/K13*100</f>
        <v>26.953828982994366</v>
      </c>
      <c r="U13" s="10">
        <f t="shared" si="0"/>
        <v>152.89333418485438</v>
      </c>
      <c r="V13" s="10">
        <f t="shared" si="1"/>
        <v>43.039179848068329</v>
      </c>
      <c r="W13" s="10">
        <f t="shared" si="2"/>
        <v>35.555130530162224</v>
      </c>
    </row>
    <row r="14" spans="1:23" x14ac:dyDescent="0.25">
      <c r="A14" s="56">
        <v>7</v>
      </c>
      <c r="B14" s="90" t="s">
        <v>21</v>
      </c>
      <c r="C14" s="56">
        <f>230+80</f>
        <v>310</v>
      </c>
      <c r="D14" s="56">
        <f>245+80</f>
        <v>325</v>
      </c>
      <c r="E14" s="60">
        <f>SUM(F14:J14)</f>
        <v>81640.418209999989</v>
      </c>
      <c r="F14" s="106">
        <v>20261.030129999999</v>
      </c>
      <c r="G14" s="60">
        <v>0</v>
      </c>
      <c r="H14" s="60">
        <v>61115.805999999997</v>
      </c>
      <c r="I14" s="60">
        <f>'[1]Форма 1'!O14</f>
        <v>120</v>
      </c>
      <c r="J14" s="60">
        <f>263.58208-I14</f>
        <v>143.58208000000002</v>
      </c>
      <c r="K14" s="60">
        <v>24806.96601</v>
      </c>
      <c r="L14" s="15">
        <f>(E14-K14)/E14*100</f>
        <v>69.614357013470766</v>
      </c>
      <c r="M14" s="15">
        <f>H14/E14*100</f>
        <v>74.859741461385639</v>
      </c>
      <c r="N14" s="10">
        <f t="shared" si="3"/>
        <v>0</v>
      </c>
      <c r="T14" s="10">
        <f>(E14-K14)/K14*100</f>
        <v>229.10279385673243</v>
      </c>
      <c r="U14" s="10" t="e">
        <f t="shared" si="0"/>
        <v>#DIV/0!</v>
      </c>
      <c r="V14" s="10" t="e">
        <f t="shared" si="1"/>
        <v>#DIV/0!</v>
      </c>
      <c r="W14" s="10" t="e">
        <f t="shared" si="2"/>
        <v>#DIV/0!</v>
      </c>
    </row>
    <row r="15" spans="1:23" x14ac:dyDescent="0.25">
      <c r="A15" s="56">
        <v>8</v>
      </c>
      <c r="B15" s="90" t="s">
        <v>22</v>
      </c>
      <c r="C15" s="56">
        <f>189+50</f>
        <v>239</v>
      </c>
      <c r="D15" s="56">
        <f>201+35+16</f>
        <v>252</v>
      </c>
      <c r="E15" s="60">
        <f>SUM(F15:J15)</f>
        <v>23744.20982</v>
      </c>
      <c r="F15" s="106">
        <v>16148.43518</v>
      </c>
      <c r="G15" s="60">
        <v>0</v>
      </c>
      <c r="H15" s="60">
        <v>7121.3493900000003</v>
      </c>
      <c r="I15" s="60">
        <f>'[1]Форма 1'!O15</f>
        <v>0</v>
      </c>
      <c r="J15" s="60">
        <v>474.42525000000001</v>
      </c>
      <c r="K15" s="60">
        <v>14498.426810000001</v>
      </c>
      <c r="L15" s="15">
        <f>(E15-K15)/E15*100</f>
        <v>38.93910591293789</v>
      </c>
      <c r="M15" s="15">
        <f>H15/E15*100</f>
        <v>29.991940957334418</v>
      </c>
      <c r="N15" s="10">
        <f t="shared" si="3"/>
        <v>14825.042860000001</v>
      </c>
      <c r="O15" s="10">
        <v>10549.37407</v>
      </c>
      <c r="Q15" s="10">
        <v>3820.6185599999999</v>
      </c>
      <c r="S15" s="10">
        <v>455.05023</v>
      </c>
      <c r="T15" s="10">
        <f>(E15-K15)/K15*100</f>
        <v>63.770939641692046</v>
      </c>
      <c r="U15" s="10">
        <f t="shared" si="0"/>
        <v>53.074818210517783</v>
      </c>
      <c r="V15" s="10">
        <f t="shared" si="1"/>
        <v>86.392576965338321</v>
      </c>
      <c r="W15" s="10">
        <f t="shared" si="2"/>
        <v>4.2577761140786601</v>
      </c>
    </row>
    <row r="16" spans="1:23" x14ac:dyDescent="0.25">
      <c r="A16" s="56">
        <v>9</v>
      </c>
      <c r="B16" s="90" t="s">
        <v>23</v>
      </c>
      <c r="C16" s="56">
        <f>234</f>
        <v>234</v>
      </c>
      <c r="D16" s="56">
        <f>238</f>
        <v>238</v>
      </c>
      <c r="E16" s="60">
        <f>SUM(F16:J16)</f>
        <v>24252.316940000001</v>
      </c>
      <c r="F16" s="106">
        <v>14722.0198</v>
      </c>
      <c r="G16" s="60">
        <v>0</v>
      </c>
      <c r="H16" s="60">
        <v>9485.6495400000003</v>
      </c>
      <c r="I16" s="60">
        <f>'[1]Форма 1'!O16</f>
        <v>0</v>
      </c>
      <c r="J16" s="60">
        <v>44.647599999999997</v>
      </c>
      <c r="K16" s="60">
        <v>35768.595840000002</v>
      </c>
      <c r="L16" s="15">
        <f>(E16-K16)/E16*100</f>
        <v>-47.485272967903086</v>
      </c>
      <c r="M16" s="15">
        <f>H16/E16*100</f>
        <v>39.112343630785489</v>
      </c>
      <c r="N16" s="10">
        <f t="shared" si="3"/>
        <v>35761.924930000001</v>
      </c>
      <c r="O16" s="10">
        <v>8846.8915500000003</v>
      </c>
      <c r="Q16" s="10">
        <v>26866.22638</v>
      </c>
      <c r="S16" s="10">
        <v>48.807000000000002</v>
      </c>
      <c r="T16" s="10">
        <f>(E16-K16)/K16*100</f>
        <v>-32.196620050489521</v>
      </c>
      <c r="U16" s="10">
        <f t="shared" si="0"/>
        <v>66.408955244850944</v>
      </c>
      <c r="V16" s="10">
        <f t="shared" si="1"/>
        <v>-64.693033529035588</v>
      </c>
      <c r="W16" s="10">
        <f t="shared" si="2"/>
        <v>-8.5221382178785934</v>
      </c>
    </row>
    <row r="17" spans="1:23" x14ac:dyDescent="0.25">
      <c r="A17" s="56">
        <v>10</v>
      </c>
      <c r="B17" s="90" t="s">
        <v>24</v>
      </c>
      <c r="C17" s="56">
        <f>236</f>
        <v>236</v>
      </c>
      <c r="D17" s="56">
        <f>242</f>
        <v>242</v>
      </c>
      <c r="E17" s="60">
        <f>SUM(F17:J17)</f>
        <v>21797.56047</v>
      </c>
      <c r="F17" s="106">
        <v>13996.800590000001</v>
      </c>
      <c r="G17" s="60">
        <v>0</v>
      </c>
      <c r="H17" s="60">
        <v>7703.9598800000003</v>
      </c>
      <c r="I17" s="60">
        <f>'[1]Форма 1'!O17</f>
        <v>0</v>
      </c>
      <c r="J17" s="60">
        <v>96.8</v>
      </c>
      <c r="K17" s="60">
        <v>13547.178540000001</v>
      </c>
      <c r="L17" s="15">
        <f>(E17-K17)/E17*100</f>
        <v>37.850024278427888</v>
      </c>
      <c r="M17" s="15">
        <f>H17/E17*100</f>
        <v>35.343220589308451</v>
      </c>
      <c r="N17" s="10">
        <f t="shared" si="3"/>
        <v>13512.857790000002</v>
      </c>
      <c r="O17" s="10">
        <v>8860.9984600000007</v>
      </c>
      <c r="Q17" s="10">
        <v>4577.5259100000003</v>
      </c>
      <c r="S17" s="10">
        <v>74.333420000000004</v>
      </c>
      <c r="T17" s="10">
        <f>(E17-K17)/K17*100</f>
        <v>60.901108711600394</v>
      </c>
      <c r="U17" s="10">
        <f t="shared" si="0"/>
        <v>57.95963235050602</v>
      </c>
      <c r="V17" s="10">
        <f t="shared" si="1"/>
        <v>68.299645517462508</v>
      </c>
      <c r="W17" s="10">
        <f t="shared" si="2"/>
        <v>30.224063415890178</v>
      </c>
    </row>
    <row r="18" spans="1:23" x14ac:dyDescent="0.25">
      <c r="A18" s="56">
        <v>11</v>
      </c>
      <c r="B18" s="90" t="s">
        <v>25</v>
      </c>
      <c r="C18" s="56">
        <f>224</f>
        <v>224</v>
      </c>
      <c r="D18" s="56">
        <f>251+9</f>
        <v>260</v>
      </c>
      <c r="E18" s="60">
        <f>SUM(F18:J18)</f>
        <v>46199.178540000008</v>
      </c>
      <c r="F18" s="106">
        <v>16537.61781</v>
      </c>
      <c r="G18" s="60">
        <v>0</v>
      </c>
      <c r="H18" s="60">
        <v>29654.275730000001</v>
      </c>
      <c r="I18" s="60">
        <f>'[1]Форма 1'!O18</f>
        <v>0</v>
      </c>
      <c r="J18" s="60">
        <v>7.2850000000000001</v>
      </c>
      <c r="K18" s="60">
        <v>11286.63702</v>
      </c>
      <c r="L18" s="15">
        <f>(E18-K18)/E18*100</f>
        <v>75.569615355329645</v>
      </c>
      <c r="M18" s="15">
        <f>H18/E18*100</f>
        <v>64.187885298273955</v>
      </c>
      <c r="N18" s="10">
        <f t="shared" si="3"/>
        <v>11208.448470000001</v>
      </c>
      <c r="O18" s="10">
        <v>8347.6228900000006</v>
      </c>
      <c r="P18" s="10">
        <v>0</v>
      </c>
      <c r="Q18" s="10">
        <v>2827.1715800000002</v>
      </c>
      <c r="S18" s="10">
        <v>33.654000000000003</v>
      </c>
      <c r="T18" s="10">
        <f>(E18-K18)/K18*100</f>
        <v>309.32634280817871</v>
      </c>
      <c r="U18" s="10">
        <f t="shared" si="0"/>
        <v>98.111702312417208</v>
      </c>
      <c r="V18" s="10">
        <f t="shared" si="1"/>
        <v>948.90258305440375</v>
      </c>
      <c r="W18" s="10">
        <f t="shared" si="2"/>
        <v>-78.353241813751708</v>
      </c>
    </row>
    <row r="19" spans="1:23" x14ac:dyDescent="0.25">
      <c r="A19" s="56">
        <v>12</v>
      </c>
      <c r="B19" s="90" t="s">
        <v>26</v>
      </c>
      <c r="C19" s="56">
        <f>526+20</f>
        <v>546</v>
      </c>
      <c r="D19" s="56">
        <f>519+98</f>
        <v>617</v>
      </c>
      <c r="E19" s="60">
        <f>SUM(F19:J19)</f>
        <v>32276.637989999996</v>
      </c>
      <c r="F19" s="106">
        <v>27148.410929999998</v>
      </c>
      <c r="G19" s="60">
        <v>0</v>
      </c>
      <c r="H19" s="60">
        <v>4721.9715299999998</v>
      </c>
      <c r="I19" s="60">
        <f>'[1]Форма 1'!O19</f>
        <v>0</v>
      </c>
      <c r="J19" s="60">
        <v>406.25553000000002</v>
      </c>
      <c r="K19" s="60">
        <v>54291.308669999999</v>
      </c>
      <c r="L19" s="15">
        <f>(E19-K19)/E19*100</f>
        <v>-68.206207495404655</v>
      </c>
      <c r="M19" s="15">
        <f>H19/E19*100</f>
        <v>14.629688294868162</v>
      </c>
      <c r="N19" s="10">
        <f t="shared" si="3"/>
        <v>0</v>
      </c>
      <c r="T19" s="10">
        <f>(E19-K19)/K19*100</f>
        <v>-40.549161954839285</v>
      </c>
      <c r="U19" s="10" t="e">
        <f t="shared" si="0"/>
        <v>#DIV/0!</v>
      </c>
      <c r="V19" s="10" t="e">
        <f t="shared" si="1"/>
        <v>#DIV/0!</v>
      </c>
      <c r="W19" s="10" t="e">
        <f t="shared" si="2"/>
        <v>#DIV/0!</v>
      </c>
    </row>
    <row r="20" spans="1:23" x14ac:dyDescent="0.25">
      <c r="A20" s="56">
        <v>13</v>
      </c>
      <c r="B20" s="90" t="s">
        <v>27</v>
      </c>
      <c r="C20" s="56">
        <f>263+42</f>
        <v>305</v>
      </c>
      <c r="D20" s="56">
        <f>259+42+17</f>
        <v>318</v>
      </c>
      <c r="E20" s="60">
        <f>SUM(F20:J20)</f>
        <v>113027.98986</v>
      </c>
      <c r="F20" s="106">
        <v>26306.821680000001</v>
      </c>
      <c r="G20" s="60">
        <v>82000</v>
      </c>
      <c r="H20" s="60">
        <v>4302.4287400000003</v>
      </c>
      <c r="I20" s="60">
        <f>'[1]Форма 1'!O20</f>
        <v>5.82</v>
      </c>
      <c r="J20" s="60">
        <f>418.73944-I20</f>
        <v>412.91944000000001</v>
      </c>
      <c r="K20" s="60">
        <v>20304.184140000001</v>
      </c>
      <c r="L20" s="15">
        <f>(E20-K20)/E20*100</f>
        <v>82.036145060042742</v>
      </c>
      <c r="M20" s="15">
        <f>H20/E20*100</f>
        <v>3.8065161959697975</v>
      </c>
      <c r="N20" s="10">
        <f t="shared" si="3"/>
        <v>0</v>
      </c>
      <c r="T20" s="10">
        <f>(E20-K20)/K20*100</f>
        <v>456.67338850286842</v>
      </c>
      <c r="U20" s="10" t="e">
        <f t="shared" si="0"/>
        <v>#DIV/0!</v>
      </c>
      <c r="V20" s="10" t="e">
        <f t="shared" si="1"/>
        <v>#DIV/0!</v>
      </c>
      <c r="W20" s="10" t="e">
        <f t="shared" si="2"/>
        <v>#DIV/0!</v>
      </c>
    </row>
    <row r="21" spans="1:23" x14ac:dyDescent="0.25">
      <c r="A21" s="56">
        <v>14</v>
      </c>
      <c r="B21" s="90" t="s">
        <v>28</v>
      </c>
      <c r="C21" s="56">
        <v>150</v>
      </c>
      <c r="D21" s="56">
        <v>150</v>
      </c>
      <c r="E21" s="60">
        <f>SUM(F21:J21)</f>
        <v>12192.206979999999</v>
      </c>
      <c r="F21" s="106">
        <v>6462.4651899999999</v>
      </c>
      <c r="G21" s="60">
        <v>0</v>
      </c>
      <c r="H21" s="60">
        <v>4113.70561</v>
      </c>
      <c r="I21" s="60">
        <f>'[1]Форма 1'!O21</f>
        <v>26</v>
      </c>
      <c r="J21" s="60">
        <f>1616.03618-I21</f>
        <v>1590.0361800000001</v>
      </c>
      <c r="K21" s="60">
        <v>5648.6920600000003</v>
      </c>
      <c r="L21" s="15">
        <f>(E21-K21)/E21*100</f>
        <v>53.669650873988026</v>
      </c>
      <c r="M21" s="15">
        <f>H21/E21*100</f>
        <v>33.740450902351725</v>
      </c>
      <c r="N21" s="10">
        <f t="shared" si="3"/>
        <v>6868.9198300000007</v>
      </c>
      <c r="O21" s="10">
        <v>4580.3274600000004</v>
      </c>
      <c r="Q21" s="10">
        <v>1065.97732</v>
      </c>
      <c r="S21" s="10">
        <v>1222.6150500000001</v>
      </c>
      <c r="T21" s="10">
        <f>(E21-K21)/K21*100</f>
        <v>115.84123989226629</v>
      </c>
      <c r="U21" s="10">
        <f t="shared" si="0"/>
        <v>41.091772290010006</v>
      </c>
      <c r="V21" s="10">
        <f t="shared" si="1"/>
        <v>285.90929964626264</v>
      </c>
      <c r="W21" s="10">
        <f t="shared" si="2"/>
        <v>30.052069946300751</v>
      </c>
    </row>
    <row r="22" spans="1:23" ht="30" x14ac:dyDescent="0.25">
      <c r="A22" s="56">
        <v>15</v>
      </c>
      <c r="B22" s="90" t="s">
        <v>29</v>
      </c>
      <c r="C22" s="56">
        <v>94</v>
      </c>
      <c r="D22" s="56">
        <v>145</v>
      </c>
      <c r="E22" s="60">
        <f>SUM(F22:J22)</f>
        <v>8032.96976</v>
      </c>
      <c r="F22" s="106">
        <v>5303.0015899999999</v>
      </c>
      <c r="G22" s="60">
        <v>0</v>
      </c>
      <c r="H22" s="60">
        <v>1805.0698</v>
      </c>
      <c r="I22" s="60">
        <f>'[1]Форма 1'!O22</f>
        <v>0</v>
      </c>
      <c r="J22" s="60">
        <v>924.89837</v>
      </c>
      <c r="K22" s="60">
        <v>4406.2736500000001</v>
      </c>
      <c r="L22" s="15">
        <f>(E22-K22)/E22*100</f>
        <v>45.147638026213606</v>
      </c>
      <c r="M22" s="15">
        <f>H22/E22*100</f>
        <v>22.47076553167555</v>
      </c>
      <c r="N22" s="10">
        <f t="shared" si="3"/>
        <v>5375.1805400000003</v>
      </c>
      <c r="O22" s="10">
        <v>4011.8518800000002</v>
      </c>
      <c r="Q22" s="10">
        <v>390.77080000000001</v>
      </c>
      <c r="S22" s="10">
        <v>972.55786000000001</v>
      </c>
      <c r="T22" s="10">
        <f>(E22-K22)/K22*100</f>
        <v>82.307555047108792</v>
      </c>
      <c r="U22" s="10">
        <f t="shared" si="0"/>
        <v>32.183384347679343</v>
      </c>
      <c r="V22" s="10">
        <f t="shared" si="1"/>
        <v>361.9254560473812</v>
      </c>
      <c r="W22" s="10">
        <f t="shared" si="2"/>
        <v>-4.9004272095441195</v>
      </c>
    </row>
    <row r="23" spans="1:23" ht="30" x14ac:dyDescent="0.25">
      <c r="A23" s="56">
        <v>16</v>
      </c>
      <c r="B23" s="90" t="s">
        <v>30</v>
      </c>
      <c r="C23" s="56">
        <v>97</v>
      </c>
      <c r="D23" s="56">
        <v>97</v>
      </c>
      <c r="E23" s="60">
        <f>SUM(F23:J23)</f>
        <v>8534.1057999999994</v>
      </c>
      <c r="F23" s="106">
        <v>5385.1997199999996</v>
      </c>
      <c r="G23" s="60">
        <v>0</v>
      </c>
      <c r="H23" s="60">
        <v>2154.62637</v>
      </c>
      <c r="I23" s="60">
        <f>'[1]Форма 1'!O23</f>
        <v>0</v>
      </c>
      <c r="J23" s="60">
        <v>994.27971000000002</v>
      </c>
      <c r="K23" s="60">
        <v>4937.6486199999999</v>
      </c>
      <c r="L23" s="15">
        <f>(E23-K23)/E23*100</f>
        <v>42.142167724238902</v>
      </c>
      <c r="M23" s="15">
        <f>H23/E23*100</f>
        <v>25.24724230627654</v>
      </c>
      <c r="N23" s="10">
        <f t="shared" si="3"/>
        <v>5710.3545699999995</v>
      </c>
      <c r="O23" s="10">
        <v>3922.18057</v>
      </c>
      <c r="Q23" s="10">
        <v>1014.0885500000001</v>
      </c>
      <c r="S23" s="10">
        <v>774.08545000000004</v>
      </c>
      <c r="T23" s="10">
        <f>(E23-K23)/K23*100</f>
        <v>72.837446663023158</v>
      </c>
      <c r="U23" s="10">
        <f t="shared" si="0"/>
        <v>37.301167651238444</v>
      </c>
      <c r="V23" s="10">
        <f t="shared" si="1"/>
        <v>112.46925330140054</v>
      </c>
      <c r="W23" s="10">
        <f t="shared" si="2"/>
        <v>28.445730377699253</v>
      </c>
    </row>
    <row r="24" spans="1:23" x14ac:dyDescent="0.25">
      <c r="A24" s="56">
        <v>17</v>
      </c>
      <c r="B24" s="90" t="s">
        <v>31</v>
      </c>
      <c r="C24" s="56">
        <v>68</v>
      </c>
      <c r="D24" s="56">
        <v>72</v>
      </c>
      <c r="E24" s="60">
        <f>SUM(F24:J24)</f>
        <v>5446.5829699999995</v>
      </c>
      <c r="F24" s="106">
        <v>3403.3119099999999</v>
      </c>
      <c r="G24" s="60">
        <v>0</v>
      </c>
      <c r="H24" s="60">
        <v>1385.70326</v>
      </c>
      <c r="I24" s="60">
        <f>'[1]Форма 1'!O24</f>
        <v>0</v>
      </c>
      <c r="J24" s="60">
        <v>657.56780000000003</v>
      </c>
      <c r="K24" s="60">
        <v>2851.7884100000001</v>
      </c>
      <c r="L24" s="15">
        <f>(E24-K24)/E24*100</f>
        <v>47.640779077308352</v>
      </c>
      <c r="M24" s="15">
        <f>H24/E24*100</f>
        <v>25.441699275169587</v>
      </c>
      <c r="N24" s="10">
        <f t="shared" si="3"/>
        <v>0</v>
      </c>
      <c r="T24" s="10">
        <f>(E24-K24)/K24*100</f>
        <v>90.988326865386171</v>
      </c>
      <c r="U24" s="10" t="e">
        <f t="shared" si="0"/>
        <v>#DIV/0!</v>
      </c>
      <c r="V24" s="10" t="e">
        <f t="shared" si="1"/>
        <v>#DIV/0!</v>
      </c>
      <c r="W24" s="10" t="e">
        <f t="shared" si="2"/>
        <v>#DIV/0!</v>
      </c>
    </row>
    <row r="25" spans="1:23" ht="30" x14ac:dyDescent="0.25">
      <c r="A25" s="56">
        <v>18</v>
      </c>
      <c r="B25" s="90" t="s">
        <v>32</v>
      </c>
      <c r="C25" s="56">
        <v>107</v>
      </c>
      <c r="D25" s="56">
        <v>133</v>
      </c>
      <c r="E25" s="60">
        <f>SUM(F25:J25)</f>
        <v>8188.6630099999993</v>
      </c>
      <c r="F25" s="106">
        <v>4219.9943999999996</v>
      </c>
      <c r="G25" s="60">
        <v>0</v>
      </c>
      <c r="H25" s="60">
        <v>2915.1092699999999</v>
      </c>
      <c r="I25" s="60">
        <f>'[1]Форма 1'!O25</f>
        <v>7.5</v>
      </c>
      <c r="J25" s="60">
        <f>1053.55934-I25</f>
        <v>1046.05934</v>
      </c>
      <c r="K25" s="60">
        <v>3568.2455399999999</v>
      </c>
      <c r="L25" s="15">
        <f>(E25-K25)/E25*100</f>
        <v>56.424564844804856</v>
      </c>
      <c r="M25" s="15">
        <f>H25/E25*100</f>
        <v>35.599331251512815</v>
      </c>
      <c r="N25" s="10">
        <f t="shared" si="3"/>
        <v>4365.4932099999996</v>
      </c>
      <c r="O25" s="10">
        <v>2856.3756800000001</v>
      </c>
      <c r="Q25" s="10">
        <v>685.94532000000004</v>
      </c>
      <c r="S25" s="10">
        <v>823.17220999999995</v>
      </c>
      <c r="T25" s="10">
        <f>(E25-K25)/K25*100</f>
        <v>129.48709437747939</v>
      </c>
      <c r="U25" s="10">
        <f t="shared" si="0"/>
        <v>47.739473821594764</v>
      </c>
      <c r="V25" s="10">
        <f t="shared" si="1"/>
        <v>324.976916527399</v>
      </c>
      <c r="W25" s="10">
        <f t="shared" si="2"/>
        <v>27.076610129975119</v>
      </c>
    </row>
    <row r="26" spans="1:23" x14ac:dyDescent="0.25">
      <c r="A26" s="56">
        <v>19</v>
      </c>
      <c r="B26" s="90" t="s">
        <v>33</v>
      </c>
      <c r="C26" s="56">
        <v>98</v>
      </c>
      <c r="D26" s="56">
        <v>105</v>
      </c>
      <c r="E26" s="60">
        <f>SUM(F26:J26)</f>
        <v>9183.3753699999997</v>
      </c>
      <c r="F26" s="106">
        <v>3906.6992799999998</v>
      </c>
      <c r="G26" s="60">
        <v>0</v>
      </c>
      <c r="H26" s="60">
        <v>4341.8836899999997</v>
      </c>
      <c r="I26" s="60">
        <f>'[1]Форма 1'!O26</f>
        <v>100</v>
      </c>
      <c r="J26" s="60">
        <f>934.7924-I26</f>
        <v>834.79240000000004</v>
      </c>
      <c r="K26" s="60">
        <v>6523.62536</v>
      </c>
      <c r="L26" s="15">
        <f>(E26-K26)/E26*100</f>
        <v>28.962662450767269</v>
      </c>
      <c r="M26" s="15">
        <f>H26/E26*100</f>
        <v>47.279823758309462</v>
      </c>
      <c r="N26" s="10">
        <f t="shared" si="3"/>
        <v>3860.1252199999999</v>
      </c>
      <c r="O26" s="10">
        <v>2335.3087599999999</v>
      </c>
      <c r="Q26" s="10">
        <v>1524.81646</v>
      </c>
      <c r="T26" s="10">
        <f>(E26-K26)/K26*100</f>
        <v>40.771041609906298</v>
      </c>
      <c r="U26" s="10">
        <f t="shared" si="0"/>
        <v>67.288340921566189</v>
      </c>
      <c r="V26" s="10">
        <f t="shared" si="1"/>
        <v>184.74795517356887</v>
      </c>
      <c r="W26" s="10" t="e">
        <f t="shared" si="2"/>
        <v>#DIV/0!</v>
      </c>
    </row>
    <row r="27" spans="1:23" x14ac:dyDescent="0.25">
      <c r="A27" s="56">
        <v>20</v>
      </c>
      <c r="B27" s="90" t="s">
        <v>34</v>
      </c>
      <c r="C27" s="56">
        <v>38</v>
      </c>
      <c r="D27" s="56">
        <v>38</v>
      </c>
      <c r="E27" s="60">
        <f>SUM(F27:J27)</f>
        <v>3442.0166300000001</v>
      </c>
      <c r="F27" s="106">
        <v>2326.02999</v>
      </c>
      <c r="G27" s="60">
        <v>0</v>
      </c>
      <c r="H27" s="60">
        <v>794.08239000000003</v>
      </c>
      <c r="I27" s="60">
        <f>'[1]Форма 1'!O27</f>
        <v>0</v>
      </c>
      <c r="J27" s="60">
        <v>321.90424999999999</v>
      </c>
      <c r="K27" s="60">
        <v>2529.4276300000001</v>
      </c>
      <c r="L27" s="15">
        <f>(E27-K27)/E27*100</f>
        <v>26.51320717180846</v>
      </c>
      <c r="M27" s="15">
        <f>H27/E27*100</f>
        <v>23.070265933026594</v>
      </c>
      <c r="N27" s="10">
        <f t="shared" si="3"/>
        <v>2723.5796299999997</v>
      </c>
      <c r="O27" s="10">
        <v>1560.7797499999999</v>
      </c>
      <c r="Q27" s="10">
        <v>902.31308999999999</v>
      </c>
      <c r="S27" s="10">
        <v>260.48678999999998</v>
      </c>
      <c r="T27" s="10">
        <f>(E27-K27)/K27*100</f>
        <v>36.078873701557526</v>
      </c>
      <c r="U27" s="10">
        <f t="shared" si="0"/>
        <v>49.029995423761754</v>
      </c>
      <c r="V27" s="10">
        <f t="shared" si="1"/>
        <v>-11.994805483759519</v>
      </c>
      <c r="W27" s="10">
        <f t="shared" si="2"/>
        <v>23.577955718982913</v>
      </c>
    </row>
    <row r="28" spans="1:23" x14ac:dyDescent="0.25">
      <c r="A28" s="56">
        <v>21</v>
      </c>
      <c r="B28" s="90" t="s">
        <v>35</v>
      </c>
      <c r="C28" s="56">
        <v>17</v>
      </c>
      <c r="D28" s="56">
        <v>17</v>
      </c>
      <c r="E28" s="60">
        <f>SUM(F28:J28)</f>
        <v>2304.3969200000001</v>
      </c>
      <c r="F28" s="106">
        <v>1777.8952200000001</v>
      </c>
      <c r="G28" s="60">
        <v>0</v>
      </c>
      <c r="H28" s="60">
        <v>426.73270000000002</v>
      </c>
      <c r="I28" s="60">
        <f>'[1]Форма 1'!O28</f>
        <v>0</v>
      </c>
      <c r="J28" s="60">
        <v>99.769000000000005</v>
      </c>
      <c r="K28" s="60">
        <v>1216.36708</v>
      </c>
      <c r="L28" s="15">
        <f>(E28-K28)/E28*100</f>
        <v>47.215383363730588</v>
      </c>
      <c r="M28" s="15">
        <f>H28/E28*100</f>
        <v>18.518194339541125</v>
      </c>
      <c r="N28" s="10">
        <f t="shared" si="3"/>
        <v>1206.8611500000002</v>
      </c>
      <c r="O28" s="10">
        <v>1072.17202</v>
      </c>
      <c r="Q28" s="10">
        <v>73.73357</v>
      </c>
      <c r="S28" s="10">
        <v>60.955559999999998</v>
      </c>
      <c r="T28" s="10">
        <f>(E28-K28)/K28*100</f>
        <v>89.449135700055294</v>
      </c>
      <c r="U28" s="10">
        <f t="shared" si="0"/>
        <v>65.8218258670843</v>
      </c>
      <c r="V28" s="10">
        <f t="shared" si="1"/>
        <v>478.7495437966723</v>
      </c>
      <c r="W28" s="10">
        <f t="shared" si="2"/>
        <v>63.674978951879055</v>
      </c>
    </row>
    <row r="29" spans="1:23" x14ac:dyDescent="0.25">
      <c r="A29" s="56">
        <v>22</v>
      </c>
      <c r="B29" s="90" t="s">
        <v>36</v>
      </c>
      <c r="C29" s="56">
        <v>68</v>
      </c>
      <c r="D29" s="56">
        <v>70</v>
      </c>
      <c r="E29" s="60">
        <f>SUM(F29:J29)</f>
        <v>4923.9431199999999</v>
      </c>
      <c r="F29" s="106">
        <v>2770.2720199999999</v>
      </c>
      <c r="G29" s="60">
        <v>0</v>
      </c>
      <c r="H29" s="60">
        <v>1301.98298</v>
      </c>
      <c r="I29" s="60">
        <f>'[1]Форма 1'!O29</f>
        <v>0</v>
      </c>
      <c r="J29" s="60">
        <v>851.68812000000003</v>
      </c>
      <c r="K29" s="60">
        <v>2214.0349799999999</v>
      </c>
      <c r="L29" s="15">
        <f>(E29-K29)/E29*100</f>
        <v>55.035325834551884</v>
      </c>
      <c r="M29" s="15">
        <f>H29/E29*100</f>
        <v>26.441876932160824</v>
      </c>
      <c r="N29" s="10">
        <f t="shared" si="3"/>
        <v>2637.6285800000001</v>
      </c>
      <c r="O29" s="10">
        <v>1730.2826299999999</v>
      </c>
      <c r="Q29" s="10">
        <v>478.077</v>
      </c>
      <c r="S29" s="10">
        <v>429.26895000000002</v>
      </c>
      <c r="T29" s="10">
        <f>(E29-K29)/K29*100</f>
        <v>122.39680784085895</v>
      </c>
      <c r="U29" s="10">
        <f t="shared" si="0"/>
        <v>60.105174262773474</v>
      </c>
      <c r="V29" s="10">
        <f t="shared" si="1"/>
        <v>172.3375063012862</v>
      </c>
      <c r="W29" s="10">
        <f t="shared" si="2"/>
        <v>98.404315057028938</v>
      </c>
    </row>
    <row r="30" spans="1:23" x14ac:dyDescent="0.25">
      <c r="A30" s="56">
        <v>23</v>
      </c>
      <c r="B30" s="90" t="s">
        <v>134</v>
      </c>
      <c r="C30" s="56">
        <v>14</v>
      </c>
      <c r="D30" s="56">
        <v>0</v>
      </c>
      <c r="E30" s="60">
        <f>SUM(F30:J30)</f>
        <v>2318.4099900000001</v>
      </c>
      <c r="F30" s="106">
        <v>1738.5782300000001</v>
      </c>
      <c r="G30" s="60">
        <v>0</v>
      </c>
      <c r="H30" s="60">
        <v>450.70907999999997</v>
      </c>
      <c r="I30" s="60">
        <f>'[1]Форма 1'!O30</f>
        <v>0</v>
      </c>
      <c r="J30" s="60">
        <v>129.12268</v>
      </c>
      <c r="K30" s="60">
        <v>1329.46027</v>
      </c>
      <c r="L30" s="15">
        <f>(E30-K30)/E30*100</f>
        <v>42.656377615074028</v>
      </c>
      <c r="M30" s="15">
        <f>H30/E30*100</f>
        <v>19.440439005354698</v>
      </c>
      <c r="N30" s="10">
        <f t="shared" si="3"/>
        <v>1349.7266900000002</v>
      </c>
      <c r="O30" s="10">
        <v>1017.29051</v>
      </c>
      <c r="Q30" s="10">
        <v>261.98412000000002</v>
      </c>
      <c r="S30" s="10">
        <v>70.452060000000003</v>
      </c>
      <c r="T30" s="10">
        <f>(E30-K30)/K30*100</f>
        <v>74.387309069416574</v>
      </c>
      <c r="U30" s="10">
        <f t="shared" si="0"/>
        <v>70.902825978392343</v>
      </c>
      <c r="V30" s="10">
        <f t="shared" si="1"/>
        <v>72.036793680471916</v>
      </c>
      <c r="W30" s="10">
        <f t="shared" si="2"/>
        <v>83.277366197666893</v>
      </c>
    </row>
    <row r="31" spans="1:23" x14ac:dyDescent="0.25">
      <c r="A31" s="56">
        <v>24</v>
      </c>
      <c r="B31" s="90" t="s">
        <v>37</v>
      </c>
      <c r="C31" s="56">
        <v>75</v>
      </c>
      <c r="D31" s="56">
        <v>75</v>
      </c>
      <c r="E31" s="60">
        <f>SUM(F31:J31)</f>
        <v>6292.2640899999997</v>
      </c>
      <c r="F31" s="106">
        <v>3210.0944399999998</v>
      </c>
      <c r="G31" s="60">
        <v>0</v>
      </c>
      <c r="H31" s="60">
        <v>2346.8156300000001</v>
      </c>
      <c r="I31" s="60">
        <f>'[1]Форма 1'!O31</f>
        <v>68.98</v>
      </c>
      <c r="J31" s="60">
        <f>735.35402-I31</f>
        <v>666.37401999999997</v>
      </c>
      <c r="K31" s="60">
        <v>2635.2717299999999</v>
      </c>
      <c r="L31" s="15">
        <f>(E31-K31)/E31*100</f>
        <v>58.118863221457694</v>
      </c>
      <c r="M31" s="15">
        <f>H31/E31*100</f>
        <v>37.296839363905342</v>
      </c>
      <c r="N31" s="10">
        <f t="shared" si="3"/>
        <v>3046.7211199999997</v>
      </c>
      <c r="O31" s="10">
        <v>1906.0763199999999</v>
      </c>
      <c r="Q31" s="10">
        <v>728.75202999999999</v>
      </c>
      <c r="S31" s="10">
        <v>411.89276999999998</v>
      </c>
      <c r="T31" s="10">
        <f>(E31-K31)/K31*100</f>
        <v>138.77097827782637</v>
      </c>
      <c r="U31" s="10">
        <f t="shared" si="0"/>
        <v>68.413741166460738</v>
      </c>
      <c r="V31" s="10">
        <f t="shared" si="1"/>
        <v>222.03212250400179</v>
      </c>
      <c r="W31" s="10">
        <f t="shared" si="2"/>
        <v>61.783373862085512</v>
      </c>
    </row>
    <row r="32" spans="1:23" x14ac:dyDescent="0.25">
      <c r="A32" s="56">
        <v>25</v>
      </c>
      <c r="B32" s="90" t="s">
        <v>38</v>
      </c>
      <c r="C32" s="56">
        <v>150</v>
      </c>
      <c r="D32" s="56">
        <v>200</v>
      </c>
      <c r="E32" s="60">
        <f>SUM(F32:J32)</f>
        <v>11525.404489999999</v>
      </c>
      <c r="F32" s="106">
        <v>7175.8027300000003</v>
      </c>
      <c r="G32" s="60">
        <v>0</v>
      </c>
      <c r="H32" s="60">
        <v>2914.9927699999998</v>
      </c>
      <c r="I32" s="60">
        <f>'[1]Форма 1'!O32</f>
        <v>14.3</v>
      </c>
      <c r="J32" s="60">
        <f>1434.60899-I32</f>
        <v>1420.30899</v>
      </c>
      <c r="K32" s="60">
        <v>5299.44661</v>
      </c>
      <c r="L32" s="15">
        <f>(E32-K32)/E32*100</f>
        <v>54.019430601346293</v>
      </c>
      <c r="M32" s="15">
        <f>H32/E32*100</f>
        <v>25.291891252313004</v>
      </c>
      <c r="N32" s="10">
        <f t="shared" si="3"/>
        <v>6272.4314300000005</v>
      </c>
      <c r="O32" s="10">
        <v>4681.1429200000002</v>
      </c>
      <c r="Q32" s="10">
        <v>613.27746000000002</v>
      </c>
      <c r="S32" s="10">
        <v>978.01104999999995</v>
      </c>
      <c r="T32" s="10">
        <f>(E32-K32)/K32*100</f>
        <v>117.48317019085883</v>
      </c>
      <c r="U32" s="10">
        <f t="shared" si="0"/>
        <v>53.291682237294303</v>
      </c>
      <c r="V32" s="10">
        <f t="shared" si="1"/>
        <v>375.31386038547703</v>
      </c>
      <c r="W32" s="10">
        <f t="shared" si="2"/>
        <v>45.224227272278782</v>
      </c>
    </row>
    <row r="33" spans="1:23" x14ac:dyDescent="0.25">
      <c r="A33" s="56">
        <v>26</v>
      </c>
      <c r="B33" s="90" t="s">
        <v>39</v>
      </c>
      <c r="C33" s="56">
        <v>35</v>
      </c>
      <c r="D33" s="56">
        <v>38</v>
      </c>
      <c r="E33" s="60">
        <f>SUM(F33:J33)</f>
        <v>4021.6821199999999</v>
      </c>
      <c r="F33" s="106">
        <v>2779.0326799999998</v>
      </c>
      <c r="G33" s="60">
        <v>0</v>
      </c>
      <c r="H33" s="60">
        <v>820.07606999999996</v>
      </c>
      <c r="I33" s="60">
        <f>'[1]Форма 1'!O33</f>
        <v>0</v>
      </c>
      <c r="J33" s="60">
        <v>422.57337000000001</v>
      </c>
      <c r="K33" s="60">
        <v>1662.9818700000001</v>
      </c>
      <c r="L33" s="15">
        <f>(E33-K33)/E33*100</f>
        <v>58.649594364260693</v>
      </c>
      <c r="M33" s="15">
        <f>H33/E33*100</f>
        <v>20.391369718698702</v>
      </c>
      <c r="N33" s="10">
        <f t="shared" si="3"/>
        <v>1873.97056</v>
      </c>
      <c r="O33" s="10">
        <v>1357.0528999999999</v>
      </c>
      <c r="Q33" s="10">
        <v>234.77949000000001</v>
      </c>
      <c r="S33" s="10">
        <v>282.13817</v>
      </c>
      <c r="T33" s="10">
        <f>(E33-K33)/K33*100</f>
        <v>141.83559619925381</v>
      </c>
      <c r="U33" s="10">
        <f t="shared" si="0"/>
        <v>104.7844030251142</v>
      </c>
      <c r="V33" s="10">
        <f t="shared" si="1"/>
        <v>249.29629926361963</v>
      </c>
      <c r="W33" s="10">
        <f t="shared" si="2"/>
        <v>49.775328166337793</v>
      </c>
    </row>
    <row r="34" spans="1:23" x14ac:dyDescent="0.25">
      <c r="A34" s="56">
        <v>27</v>
      </c>
      <c r="B34" s="90" t="s">
        <v>40</v>
      </c>
      <c r="C34" s="56">
        <v>118</v>
      </c>
      <c r="D34" s="56">
        <v>118</v>
      </c>
      <c r="E34" s="60">
        <f>SUM(F34:J34)</f>
        <v>8151.6814599999998</v>
      </c>
      <c r="F34" s="106">
        <v>4476.8659399999997</v>
      </c>
      <c r="G34" s="60">
        <v>0</v>
      </c>
      <c r="H34" s="60">
        <v>2655.3090099999999</v>
      </c>
      <c r="I34" s="60">
        <f>'[1]Форма 1'!O34</f>
        <v>0</v>
      </c>
      <c r="J34" s="60">
        <v>1019.50651</v>
      </c>
      <c r="K34" s="60">
        <v>3491.3815300000001</v>
      </c>
      <c r="L34" s="15">
        <f>(E34-K34)/E34*100</f>
        <v>57.169799296843472</v>
      </c>
      <c r="M34" s="15">
        <f>H34/E34*100</f>
        <v>32.573758224355345</v>
      </c>
      <c r="N34" s="10">
        <f t="shared" si="3"/>
        <v>4240.4374799999996</v>
      </c>
      <c r="O34" s="10">
        <v>2885.8808199999999</v>
      </c>
      <c r="Q34" s="10">
        <v>599.07196999999996</v>
      </c>
      <c r="S34" s="10">
        <v>755.48469</v>
      </c>
      <c r="T34" s="10">
        <f>(E34-K34)/K34*100</f>
        <v>133.48011066553354</v>
      </c>
      <c r="U34" s="10">
        <f t="shared" si="0"/>
        <v>55.129966177882558</v>
      </c>
      <c r="V34" s="10">
        <f t="shared" si="1"/>
        <v>343.23706382056235</v>
      </c>
      <c r="W34" s="10">
        <f t="shared" si="2"/>
        <v>34.947342215498772</v>
      </c>
    </row>
    <row r="35" spans="1:23" x14ac:dyDescent="0.25">
      <c r="A35" s="56">
        <v>28</v>
      </c>
      <c r="B35" s="90" t="s">
        <v>41</v>
      </c>
      <c r="C35" s="56">
        <v>55</v>
      </c>
      <c r="D35" s="56">
        <v>61</v>
      </c>
      <c r="E35" s="60">
        <f>SUM(F35:J35)</f>
        <v>6905.1858300000004</v>
      </c>
      <c r="F35" s="106">
        <v>3281.6916700000002</v>
      </c>
      <c r="G35" s="60">
        <v>0</v>
      </c>
      <c r="H35" s="60">
        <v>3032.45721</v>
      </c>
      <c r="I35" s="60">
        <f>'[1]Форма 1'!O35</f>
        <v>0</v>
      </c>
      <c r="J35" s="60">
        <v>591.03695000000005</v>
      </c>
      <c r="K35" s="60">
        <v>2802.1832199999999</v>
      </c>
      <c r="L35" s="15">
        <f>(E35-K35)/E35*100</f>
        <v>59.419148318561618</v>
      </c>
      <c r="M35" s="15">
        <f>H35/E35*100</f>
        <v>43.91564955175145</v>
      </c>
      <c r="N35" s="10">
        <f t="shared" si="3"/>
        <v>3128.0058099999997</v>
      </c>
      <c r="O35" s="10">
        <v>2112.8148099999999</v>
      </c>
      <c r="Q35" s="10">
        <v>688.25387000000001</v>
      </c>
      <c r="S35" s="10">
        <v>326.93713000000002</v>
      </c>
      <c r="T35" s="10">
        <f>(E35-K35)/K35*100</f>
        <v>146.42163941014536</v>
      </c>
      <c r="U35" s="10">
        <f t="shared" si="0"/>
        <v>55.323204592644835</v>
      </c>
      <c r="V35" s="10">
        <f t="shared" si="1"/>
        <v>340.60154866982441</v>
      </c>
      <c r="W35" s="10">
        <f t="shared" si="2"/>
        <v>80.780001953280745</v>
      </c>
    </row>
    <row r="36" spans="1:23" ht="30" x14ac:dyDescent="0.25">
      <c r="A36" s="56">
        <v>29</v>
      </c>
      <c r="B36" s="90" t="s">
        <v>42</v>
      </c>
      <c r="C36" s="56">
        <v>34</v>
      </c>
      <c r="D36" s="56">
        <v>40</v>
      </c>
      <c r="E36" s="60">
        <f>SUM(F36:J36)</f>
        <v>3961.3206799999998</v>
      </c>
      <c r="F36" s="106">
        <v>2787.1958500000001</v>
      </c>
      <c r="G36" s="60">
        <v>0</v>
      </c>
      <c r="H36" s="60">
        <v>794.75818000000004</v>
      </c>
      <c r="I36" s="60">
        <f>'[1]Форма 1'!O36</f>
        <v>0</v>
      </c>
      <c r="J36" s="60">
        <v>379.36664999999999</v>
      </c>
      <c r="K36" s="60">
        <v>1965.1991499999999</v>
      </c>
      <c r="L36" s="15">
        <f>(E36-K36)/E36*100</f>
        <v>50.390303922579683</v>
      </c>
      <c r="M36" s="15">
        <f>H36/E36*100</f>
        <v>20.062959911642402</v>
      </c>
      <c r="N36" s="10">
        <f t="shared" si="3"/>
        <v>2185.72631</v>
      </c>
      <c r="O36" s="10">
        <v>1733.6964399999999</v>
      </c>
      <c r="Q36" s="10">
        <v>166.14870999999999</v>
      </c>
      <c r="S36" s="10">
        <v>285.88116000000002</v>
      </c>
      <c r="T36" s="10">
        <f>(E36-K36)/K36*100</f>
        <v>101.57349854339191</v>
      </c>
      <c r="U36" s="10">
        <f t="shared" si="0"/>
        <v>60.766082555951961</v>
      </c>
      <c r="V36" s="10">
        <f t="shared" si="1"/>
        <v>378.34146891661101</v>
      </c>
      <c r="W36" s="10">
        <f t="shared" si="2"/>
        <v>32.700822257752129</v>
      </c>
    </row>
    <row r="37" spans="1:23" x14ac:dyDescent="0.25">
      <c r="A37" s="56">
        <v>30</v>
      </c>
      <c r="B37" s="90" t="s">
        <v>43</v>
      </c>
      <c r="C37" s="56">
        <v>101</v>
      </c>
      <c r="D37" s="56">
        <v>115</v>
      </c>
      <c r="E37" s="60">
        <f>SUM(F37:J37)</f>
        <v>8086.6935200000007</v>
      </c>
      <c r="F37" s="106">
        <v>4975.80854</v>
      </c>
      <c r="G37" s="60">
        <v>0</v>
      </c>
      <c r="H37" s="60">
        <v>2202.79081</v>
      </c>
      <c r="I37" s="60">
        <f>'[1]Форма 1'!O37</f>
        <v>0</v>
      </c>
      <c r="J37" s="60">
        <v>908.09416999999996</v>
      </c>
      <c r="K37" s="60">
        <v>4802.7722800000001</v>
      </c>
      <c r="L37" s="15">
        <f>(E37-K37)/E37*100</f>
        <v>40.608948909442539</v>
      </c>
      <c r="M37" s="15">
        <f>H37/E37*100</f>
        <v>27.239696973207412</v>
      </c>
      <c r="N37" s="10">
        <f t="shared" si="3"/>
        <v>5353.2875300000005</v>
      </c>
      <c r="O37" s="10">
        <v>3689.5949300000002</v>
      </c>
      <c r="Q37" s="10">
        <v>1103.8081999999999</v>
      </c>
      <c r="S37" s="10">
        <v>559.88440000000003</v>
      </c>
      <c r="T37" s="10">
        <f>(E37-K37)/K37*100</f>
        <v>68.375534973313378</v>
      </c>
      <c r="U37" s="10">
        <f t="shared" si="0"/>
        <v>34.860564219172964</v>
      </c>
      <c r="V37" s="10">
        <f t="shared" si="1"/>
        <v>99.562823505025605</v>
      </c>
      <c r="W37" s="10">
        <f t="shared" si="2"/>
        <v>62.193154515467818</v>
      </c>
    </row>
    <row r="38" spans="1:23" ht="30" x14ac:dyDescent="0.25">
      <c r="A38" s="56">
        <v>31</v>
      </c>
      <c r="B38" s="90" t="s">
        <v>44</v>
      </c>
      <c r="C38" s="56">
        <v>140</v>
      </c>
      <c r="D38" s="56">
        <v>152</v>
      </c>
      <c r="E38" s="60">
        <f>SUM(F38:J38)</f>
        <v>8710.87608</v>
      </c>
      <c r="F38" s="106">
        <v>4551.4579199999998</v>
      </c>
      <c r="G38" s="60">
        <v>0</v>
      </c>
      <c r="H38" s="60">
        <v>2972.9227900000001</v>
      </c>
      <c r="I38" s="60">
        <f>'[1]Форма 1'!O38</f>
        <v>0</v>
      </c>
      <c r="J38" s="60">
        <v>1186.4953700000001</v>
      </c>
      <c r="K38" s="60">
        <v>4026.38634</v>
      </c>
      <c r="L38" s="15">
        <f>(E38-K38)/E38*100</f>
        <v>53.777481127937243</v>
      </c>
      <c r="M38" s="15">
        <f>H38/E38*100</f>
        <v>34.128861008891768</v>
      </c>
      <c r="N38" s="10">
        <f t="shared" si="3"/>
        <v>4889.0304700000006</v>
      </c>
      <c r="O38" s="10">
        <v>3142.2248300000001</v>
      </c>
      <c r="Q38" s="10">
        <v>879.15097000000003</v>
      </c>
      <c r="S38" s="10">
        <v>867.65467000000001</v>
      </c>
      <c r="T38" s="10">
        <f>(E38-K38)/K38*100</f>
        <v>116.34476536595839</v>
      </c>
      <c r="U38" s="10">
        <f t="shared" si="0"/>
        <v>44.848257723175067</v>
      </c>
      <c r="V38" s="10">
        <f t="shared" si="1"/>
        <v>238.15839275022356</v>
      </c>
      <c r="W38" s="10">
        <f t="shared" si="2"/>
        <v>36.747419339078768</v>
      </c>
    </row>
    <row r="39" spans="1:23" ht="30" x14ac:dyDescent="0.25">
      <c r="A39" s="56">
        <v>32</v>
      </c>
      <c r="B39" s="90" t="s">
        <v>45</v>
      </c>
      <c r="C39" s="56">
        <v>107</v>
      </c>
      <c r="D39" s="56">
        <v>107</v>
      </c>
      <c r="E39" s="60">
        <f>SUM(F39:J39)</f>
        <v>8002.928460000001</v>
      </c>
      <c r="F39" s="106">
        <v>4687.1978300000001</v>
      </c>
      <c r="G39" s="60">
        <v>0</v>
      </c>
      <c r="H39" s="60">
        <v>2256.38949</v>
      </c>
      <c r="I39" s="60">
        <f>'[1]Форма 1'!O39</f>
        <v>45.5</v>
      </c>
      <c r="J39" s="60">
        <f>1059.34114-I39</f>
        <v>1013.84114</v>
      </c>
      <c r="K39" s="60">
        <v>5656.1159100000004</v>
      </c>
      <c r="L39" s="15">
        <f>(E39-K39)/E39*100</f>
        <v>29.324422450228926</v>
      </c>
      <c r="M39" s="15">
        <f>H39/E39*100</f>
        <v>28.194547799318947</v>
      </c>
      <c r="N39" s="10">
        <f t="shared" si="3"/>
        <v>6206.6631600000001</v>
      </c>
      <c r="O39" s="10">
        <v>3313.6496400000001</v>
      </c>
      <c r="Q39" s="10">
        <v>2328.0538999999999</v>
      </c>
      <c r="S39" s="10">
        <v>564.95961999999997</v>
      </c>
      <c r="T39" s="10">
        <f>(E39-K39)/K39*100</f>
        <v>41.491592240018299</v>
      </c>
      <c r="U39" s="10">
        <f t="shared" si="0"/>
        <v>41.451219628638832</v>
      </c>
      <c r="V39" s="10">
        <f t="shared" si="1"/>
        <v>-3.0782968555839649</v>
      </c>
      <c r="W39" s="10">
        <f t="shared" si="2"/>
        <v>79.453735118272704</v>
      </c>
    </row>
    <row r="40" spans="1:23" x14ac:dyDescent="0.25">
      <c r="A40" s="56">
        <v>33</v>
      </c>
      <c r="B40" s="90" t="s">
        <v>46</v>
      </c>
      <c r="C40" s="56">
        <f>54+20</f>
        <v>74</v>
      </c>
      <c r="D40" s="56">
        <f>59+23</f>
        <v>82</v>
      </c>
      <c r="E40" s="60">
        <f>SUM(F40:J40)</f>
        <v>9140.6400000000012</v>
      </c>
      <c r="F40" s="106">
        <v>7802.7698200000004</v>
      </c>
      <c r="G40" s="60">
        <v>0</v>
      </c>
      <c r="H40" s="60">
        <v>1168.00476</v>
      </c>
      <c r="I40" s="60">
        <f>'[1]Форма 1'!O40</f>
        <v>0</v>
      </c>
      <c r="J40" s="60">
        <v>169.86542</v>
      </c>
      <c r="K40" s="60">
        <v>5026.8548899999996</v>
      </c>
      <c r="L40" s="15">
        <f>(E40-K40)/E40*100</f>
        <v>45.005438459451433</v>
      </c>
      <c r="M40" s="15">
        <f>H40/E40*100</f>
        <v>12.778150764060284</v>
      </c>
      <c r="N40" s="10">
        <f t="shared" si="3"/>
        <v>0</v>
      </c>
      <c r="T40" s="10">
        <f>(E40-K40)/K40*100</f>
        <v>81.836161974430937</v>
      </c>
      <c r="U40" s="10" t="e">
        <f t="shared" ref="U40:U76" si="4">(F40-O40)/O40*100</f>
        <v>#DIV/0!</v>
      </c>
      <c r="V40" s="10" t="e">
        <f t="shared" ref="V40:V76" si="5">(H40-Q40)/Q40*100</f>
        <v>#DIV/0!</v>
      </c>
      <c r="W40" s="10" t="e">
        <f t="shared" ref="W40:W76" si="6">(J40-S40)/S40*100</f>
        <v>#DIV/0!</v>
      </c>
    </row>
    <row r="41" spans="1:23" x14ac:dyDescent="0.25">
      <c r="A41" s="56">
        <v>34</v>
      </c>
      <c r="B41" s="90" t="s">
        <v>47</v>
      </c>
      <c r="C41" s="56">
        <f>194+74</f>
        <v>268</v>
      </c>
      <c r="D41" s="56">
        <f>218+91</f>
        <v>309</v>
      </c>
      <c r="E41" s="60">
        <f>SUM(F41:J41)</f>
        <v>20474.180329999999</v>
      </c>
      <c r="F41" s="106">
        <v>16678.920539999999</v>
      </c>
      <c r="G41" s="60">
        <v>0</v>
      </c>
      <c r="H41" s="60">
        <v>3080.28728</v>
      </c>
      <c r="I41" s="60">
        <f>'[1]Форма 1'!O41</f>
        <v>1</v>
      </c>
      <c r="J41" s="60">
        <f>714.97251-I41</f>
        <v>713.97251000000006</v>
      </c>
      <c r="K41" s="60">
        <v>15363.83259</v>
      </c>
      <c r="L41" s="15">
        <f>(E41-K41)/E41*100</f>
        <v>24.959962536385451</v>
      </c>
      <c r="M41" s="15">
        <f>H41/E41*100</f>
        <v>15.044740401580706</v>
      </c>
      <c r="N41" s="10">
        <f t="shared" si="3"/>
        <v>15748.538699999999</v>
      </c>
      <c r="O41" s="10">
        <v>11247.48408</v>
      </c>
      <c r="Q41" s="10">
        <v>3982.4525800000001</v>
      </c>
      <c r="S41" s="10">
        <v>518.60203999999999</v>
      </c>
      <c r="T41" s="10">
        <f>(E41-K41)/K41*100</f>
        <v>33.262193596968885</v>
      </c>
      <c r="U41" s="10">
        <f t="shared" si="4"/>
        <v>48.29023469931419</v>
      </c>
      <c r="V41" s="10">
        <f t="shared" si="5"/>
        <v>-22.653510164331951</v>
      </c>
      <c r="W41" s="10">
        <f t="shared" si="6"/>
        <v>37.672522460574989</v>
      </c>
    </row>
    <row r="42" spans="1:23" x14ac:dyDescent="0.25">
      <c r="A42" s="56">
        <v>35</v>
      </c>
      <c r="B42" s="90" t="s">
        <v>48</v>
      </c>
      <c r="C42" s="56">
        <f>113</f>
        <v>113</v>
      </c>
      <c r="D42" s="56">
        <f>117+12</f>
        <v>129</v>
      </c>
      <c r="E42" s="60">
        <f>SUM(F42:J42)</f>
        <v>9677.0624299999999</v>
      </c>
      <c r="F42" s="106">
        <v>7929.8477300000004</v>
      </c>
      <c r="G42" s="60">
        <v>0</v>
      </c>
      <c r="H42" s="60">
        <v>1724.06998</v>
      </c>
      <c r="I42" s="60">
        <f>'[1]Форма 1'!O42</f>
        <v>0</v>
      </c>
      <c r="J42" s="60">
        <v>23.14472</v>
      </c>
      <c r="K42" s="60">
        <v>7332.6729800000003</v>
      </c>
      <c r="L42" s="15">
        <f>(E42-K42)/E42*100</f>
        <v>24.226251168248375</v>
      </c>
      <c r="M42" s="15">
        <f>H42/E42*100</f>
        <v>17.816046888931769</v>
      </c>
      <c r="N42" s="10">
        <f t="shared" si="3"/>
        <v>7229.3713700000008</v>
      </c>
      <c r="O42" s="10">
        <v>5603.3548300000002</v>
      </c>
      <c r="Q42" s="10">
        <v>1626.0165400000001</v>
      </c>
      <c r="S42" s="10">
        <v>0</v>
      </c>
      <c r="T42" s="10">
        <f>(E42-K42)/K42*100</f>
        <v>31.971826050259772</v>
      </c>
      <c r="U42" s="10">
        <f t="shared" si="4"/>
        <v>41.519642617385344</v>
      </c>
      <c r="V42" s="10">
        <f t="shared" si="5"/>
        <v>6.0302855221878557</v>
      </c>
      <c r="W42" s="10" t="e">
        <f t="shared" si="6"/>
        <v>#DIV/0!</v>
      </c>
    </row>
    <row r="43" spans="1:23" ht="30" x14ac:dyDescent="0.25">
      <c r="A43" s="56">
        <v>36</v>
      </c>
      <c r="B43" s="90" t="s">
        <v>49</v>
      </c>
      <c r="C43" s="56">
        <f>70+18</f>
        <v>88</v>
      </c>
      <c r="D43" s="56">
        <f>76+29</f>
        <v>105</v>
      </c>
      <c r="E43" s="60">
        <f>SUM(F43:J43)</f>
        <v>8136.4218599999995</v>
      </c>
      <c r="F43" s="106">
        <v>6822.5815599999996</v>
      </c>
      <c r="G43" s="60">
        <v>0</v>
      </c>
      <c r="H43" s="60">
        <v>1178.0397800000001</v>
      </c>
      <c r="I43" s="60">
        <f>'[1]Форма 1'!O43</f>
        <v>0</v>
      </c>
      <c r="J43" s="60">
        <v>135.80052000000001</v>
      </c>
      <c r="K43" s="60">
        <v>4753.2831800000004</v>
      </c>
      <c r="L43" s="15">
        <f>(E43-K43)/E43*100</f>
        <v>41.580177849824508</v>
      </c>
      <c r="M43" s="15">
        <f>H43/E43*100</f>
        <v>14.478597598183043</v>
      </c>
      <c r="N43" s="10">
        <f t="shared" si="3"/>
        <v>4801.4064099999996</v>
      </c>
      <c r="O43" s="10">
        <v>4038.9316399999998</v>
      </c>
      <c r="Q43" s="10">
        <v>700.48726999999997</v>
      </c>
      <c r="S43" s="10">
        <v>61.987499999999997</v>
      </c>
      <c r="T43" s="10">
        <f>(E43-K43)/K43*100</f>
        <v>71.174776504689518</v>
      </c>
      <c r="U43" s="10">
        <f t="shared" si="4"/>
        <v>68.920451448888599</v>
      </c>
      <c r="V43" s="10">
        <f t="shared" si="5"/>
        <v>68.174330991054291</v>
      </c>
      <c r="W43" s="10">
        <f t="shared" si="6"/>
        <v>119.07726557773745</v>
      </c>
    </row>
    <row r="44" spans="1:23" x14ac:dyDescent="0.25">
      <c r="A44" s="56">
        <v>37</v>
      </c>
      <c r="B44" s="90" t="s">
        <v>50</v>
      </c>
      <c r="C44" s="56">
        <v>241</v>
      </c>
      <c r="D44" s="56">
        <v>248</v>
      </c>
      <c r="E44" s="60">
        <f>SUM(F44:J44)</f>
        <v>8310.466989999999</v>
      </c>
      <c r="F44" s="106">
        <v>7671.4027299999998</v>
      </c>
      <c r="G44" s="60">
        <v>0</v>
      </c>
      <c r="H44" s="60">
        <v>639.06425999999999</v>
      </c>
      <c r="I44" s="60">
        <f>'[1]Форма 1'!O44</f>
        <v>0</v>
      </c>
      <c r="J44" s="60">
        <f>'[1]Форма 1'!K44+'[1]Форма 1'!N44</f>
        <v>0</v>
      </c>
      <c r="K44" s="60">
        <v>5090.68631</v>
      </c>
      <c r="L44" s="15">
        <f>(E44-K44)/E44*100</f>
        <v>38.743679312779499</v>
      </c>
      <c r="M44" s="15">
        <f>H44/E44*100</f>
        <v>7.6898718299343134</v>
      </c>
      <c r="N44" s="10">
        <f t="shared" si="3"/>
        <v>5072.8471199999994</v>
      </c>
      <c r="O44" s="10">
        <v>4694.6955399999997</v>
      </c>
      <c r="Q44" s="10">
        <v>378.15158000000002</v>
      </c>
      <c r="S44" s="10">
        <v>0</v>
      </c>
      <c r="T44" s="10">
        <f>(E44-K44)/K44*100</f>
        <v>63.248459715051638</v>
      </c>
      <c r="U44" s="10">
        <f t="shared" si="4"/>
        <v>63.405755807542739</v>
      </c>
      <c r="V44" s="10">
        <f t="shared" si="5"/>
        <v>68.996850416438818</v>
      </c>
      <c r="W44" s="10" t="e">
        <f t="shared" si="6"/>
        <v>#DIV/0!</v>
      </c>
    </row>
    <row r="45" spans="1:23" ht="30" x14ac:dyDescent="0.25">
      <c r="A45" s="56">
        <v>38</v>
      </c>
      <c r="B45" s="90" t="s">
        <v>51</v>
      </c>
      <c r="C45" s="56">
        <f>437+45</f>
        <v>482</v>
      </c>
      <c r="D45" s="56">
        <f>439+50</f>
        <v>489</v>
      </c>
      <c r="E45" s="60">
        <f>SUM(F45:J45)</f>
        <v>28404.450679999998</v>
      </c>
      <c r="F45" s="106">
        <v>22030.579269999998</v>
      </c>
      <c r="G45" s="60">
        <v>0</v>
      </c>
      <c r="H45" s="60">
        <v>5351.9185100000004</v>
      </c>
      <c r="I45" s="60">
        <f>'[1]Форма 1'!O45</f>
        <v>238.43</v>
      </c>
      <c r="J45" s="60">
        <f>1021.9529-I45</f>
        <v>783.52289999999994</v>
      </c>
      <c r="K45" s="60">
        <v>16742.763019999999</v>
      </c>
      <c r="L45" s="15">
        <f>(E45-K45)/E45*100</f>
        <v>41.055846463565551</v>
      </c>
      <c r="M45" s="15">
        <f>H45/E45*100</f>
        <v>18.84183070566602</v>
      </c>
      <c r="N45" s="10">
        <f t="shared" si="3"/>
        <v>17647.02879</v>
      </c>
      <c r="O45" s="10">
        <v>13277.638639999999</v>
      </c>
      <c r="Q45" s="10">
        <v>3342.77961</v>
      </c>
      <c r="S45" s="10">
        <v>1026.6105399999999</v>
      </c>
      <c r="T45" s="10">
        <f>(E45-K45)/K45*100</f>
        <v>69.652109667141431</v>
      </c>
      <c r="U45" s="10">
        <f t="shared" si="4"/>
        <v>65.922419394899265</v>
      </c>
      <c r="V45" s="10">
        <f t="shared" si="5"/>
        <v>60.103839750296913</v>
      </c>
      <c r="W45" s="10">
        <f t="shared" si="6"/>
        <v>-23.678662017243656</v>
      </c>
    </row>
    <row r="46" spans="1:23" x14ac:dyDescent="0.25">
      <c r="A46" s="56">
        <v>39</v>
      </c>
      <c r="B46" s="90" t="s">
        <v>52</v>
      </c>
      <c r="C46" s="56">
        <f>161</f>
        <v>161</v>
      </c>
      <c r="D46" s="56">
        <f>154</f>
        <v>154</v>
      </c>
      <c r="E46" s="60">
        <f>SUM(F46:J46)</f>
        <v>12441.9625</v>
      </c>
      <c r="F46" s="106">
        <v>9865.8150900000001</v>
      </c>
      <c r="G46" s="60">
        <v>0</v>
      </c>
      <c r="H46" s="60">
        <v>2576.14741</v>
      </c>
      <c r="I46" s="60">
        <f>'[1]Форма 1'!O46</f>
        <v>0</v>
      </c>
      <c r="J46" s="60">
        <f>'[1]Форма 1'!K46+'[1]Форма 1'!N46</f>
        <v>0</v>
      </c>
      <c r="K46" s="60">
        <v>8131.33421</v>
      </c>
      <c r="L46" s="15">
        <f>(E46-K46)/E46*100</f>
        <v>34.645887174149578</v>
      </c>
      <c r="M46" s="15">
        <f>H46/E46*100</f>
        <v>20.705314053148772</v>
      </c>
      <c r="N46" s="10">
        <f t="shared" si="3"/>
        <v>8048.4343200000003</v>
      </c>
      <c r="O46" s="10">
        <v>5818.9178000000002</v>
      </c>
      <c r="P46" s="10">
        <v>0</v>
      </c>
      <c r="Q46" s="10">
        <v>2229.5165200000001</v>
      </c>
      <c r="S46" s="10">
        <v>0</v>
      </c>
      <c r="T46" s="10">
        <f>(E46-K46)/K46*100</f>
        <v>53.012558316675062</v>
      </c>
      <c r="U46" s="10">
        <f t="shared" si="4"/>
        <v>69.547249662127896</v>
      </c>
      <c r="V46" s="10">
        <f t="shared" si="5"/>
        <v>15.547356877176219</v>
      </c>
      <c r="W46" s="10" t="e">
        <f t="shared" si="6"/>
        <v>#DIV/0!</v>
      </c>
    </row>
    <row r="47" spans="1:23" x14ac:dyDescent="0.25">
      <c r="A47" s="56">
        <v>40</v>
      </c>
      <c r="B47" s="90" t="s">
        <v>53</v>
      </c>
      <c r="C47" s="56">
        <f>757+51</f>
        <v>808</v>
      </c>
      <c r="D47" s="56">
        <f>783+70</f>
        <v>853</v>
      </c>
      <c r="E47" s="60">
        <f>SUM(F47:J47)</f>
        <v>44626.349459999998</v>
      </c>
      <c r="F47" s="106">
        <v>36255.275229999999</v>
      </c>
      <c r="G47" s="60">
        <v>0</v>
      </c>
      <c r="H47" s="60">
        <v>7866.8611600000004</v>
      </c>
      <c r="I47" s="60">
        <f>'[1]Форма 1'!O47</f>
        <v>38</v>
      </c>
      <c r="J47" s="60">
        <f>504.21307-I47</f>
        <v>466.21307000000002</v>
      </c>
      <c r="K47" s="60">
        <v>31216.331890000001</v>
      </c>
      <c r="L47" s="15">
        <f>(E47-K47)/E47*100</f>
        <v>30.049550842198773</v>
      </c>
      <c r="M47" s="15">
        <f>H47/E47*100</f>
        <v>17.628287447198243</v>
      </c>
      <c r="N47" s="10">
        <f t="shared" si="3"/>
        <v>28692.842800000002</v>
      </c>
      <c r="O47" s="10">
        <v>23903.53858</v>
      </c>
      <c r="Q47" s="10">
        <v>4359.5440600000002</v>
      </c>
      <c r="S47" s="10">
        <v>429.76015999999998</v>
      </c>
      <c r="T47" s="10">
        <f>(E47-K47)/K47*100</f>
        <v>42.958338658283644</v>
      </c>
      <c r="U47" s="10">
        <f t="shared" si="4"/>
        <v>51.673255859844325</v>
      </c>
      <c r="V47" s="10">
        <f t="shared" si="5"/>
        <v>80.451465835168094</v>
      </c>
      <c r="W47" s="10">
        <f t="shared" si="6"/>
        <v>8.4821519984542153</v>
      </c>
    </row>
    <row r="48" spans="1:23" x14ac:dyDescent="0.25">
      <c r="A48" s="56">
        <v>41</v>
      </c>
      <c r="B48" s="90" t="s">
        <v>54</v>
      </c>
      <c r="C48" s="56">
        <f>287</f>
        <v>287</v>
      </c>
      <c r="D48" s="17">
        <f>281+7</f>
        <v>288</v>
      </c>
      <c r="E48" s="60">
        <f>SUM(F48:J48)</f>
        <v>28202.563389999999</v>
      </c>
      <c r="F48" s="106">
        <v>21762.061379999999</v>
      </c>
      <c r="G48" s="60">
        <v>0</v>
      </c>
      <c r="H48" s="60">
        <v>6429.0975099999996</v>
      </c>
      <c r="I48" s="60">
        <f>'[1]Форма 1'!O48</f>
        <v>0</v>
      </c>
      <c r="J48" s="60">
        <v>11.404500000000001</v>
      </c>
      <c r="K48" s="60">
        <v>14098.55632</v>
      </c>
      <c r="L48" s="15">
        <f>(E48-K48)/E48*100</f>
        <v>50.009663571932492</v>
      </c>
      <c r="M48" s="15">
        <f>H48/E48*100</f>
        <v>22.796145942817432</v>
      </c>
      <c r="N48" s="10">
        <f t="shared" si="3"/>
        <v>14062.350899999999</v>
      </c>
      <c r="O48" s="10">
        <v>11573.155479999999</v>
      </c>
      <c r="Q48" s="10">
        <v>2469.5468000000001</v>
      </c>
      <c r="S48" s="10">
        <v>19.648620000000001</v>
      </c>
      <c r="T48" s="10">
        <f>(E48-K48)/K48*100</f>
        <v>100.03866175994393</v>
      </c>
      <c r="U48" s="10">
        <f t="shared" si="4"/>
        <v>88.039134336420403</v>
      </c>
      <c r="V48" s="10">
        <f t="shared" si="5"/>
        <v>160.3351153337122</v>
      </c>
      <c r="W48" s="10">
        <f t="shared" si="6"/>
        <v>-41.957755811858547</v>
      </c>
    </row>
    <row r="49" spans="1:23" x14ac:dyDescent="0.25">
      <c r="A49" s="56">
        <v>42</v>
      </c>
      <c r="B49" s="90" t="s">
        <v>55</v>
      </c>
      <c r="C49" s="56">
        <f>377+33</f>
        <v>410</v>
      </c>
      <c r="D49" s="56">
        <f>397+62</f>
        <v>459</v>
      </c>
      <c r="E49" s="60">
        <f>SUM(F49:J49)</f>
        <v>29468.168890000001</v>
      </c>
      <c r="F49" s="106">
        <v>24990.871459999998</v>
      </c>
      <c r="G49" s="60">
        <v>0</v>
      </c>
      <c r="H49" s="60">
        <v>4256.0863600000002</v>
      </c>
      <c r="I49" s="60">
        <f>'[1]Форма 1'!O49</f>
        <v>0</v>
      </c>
      <c r="J49" s="60">
        <v>221.21107000000001</v>
      </c>
      <c r="K49" s="60">
        <v>18661.73285</v>
      </c>
      <c r="L49" s="15">
        <f>(E49-K49)/E49*100</f>
        <v>36.671555943427336</v>
      </c>
      <c r="M49" s="15">
        <f>H49/E49*100</f>
        <v>14.442995680821891</v>
      </c>
      <c r="N49" s="10">
        <f t="shared" si="3"/>
        <v>18814.153329999997</v>
      </c>
      <c r="O49" s="10">
        <v>15146.497719999999</v>
      </c>
      <c r="Q49" s="10">
        <v>3411.7683299999999</v>
      </c>
      <c r="S49" s="10">
        <v>255.88728</v>
      </c>
      <c r="T49" s="10">
        <f>(E49-K49)/K49*100</f>
        <v>57.906927115827834</v>
      </c>
      <c r="U49" s="10">
        <f t="shared" si="4"/>
        <v>64.994389607315767</v>
      </c>
      <c r="V49" s="10">
        <f t="shared" si="5"/>
        <v>24.747226315920472</v>
      </c>
      <c r="W49" s="10">
        <f t="shared" si="6"/>
        <v>-13.551361365051049</v>
      </c>
    </row>
    <row r="50" spans="1:23" x14ac:dyDescent="0.25">
      <c r="A50" s="56">
        <v>43</v>
      </c>
      <c r="B50" s="90" t="s">
        <v>56</v>
      </c>
      <c r="C50" s="56">
        <f>251</f>
        <v>251</v>
      </c>
      <c r="D50" s="56">
        <f>259</f>
        <v>259</v>
      </c>
      <c r="E50" s="60">
        <f>SUM(F50:J50)</f>
        <v>19431.384050000001</v>
      </c>
      <c r="F50" s="106">
        <v>15563.122240000001</v>
      </c>
      <c r="G50" s="60">
        <v>0</v>
      </c>
      <c r="H50" s="60">
        <v>3839.8132799999998</v>
      </c>
      <c r="I50" s="60">
        <f>'[1]Форма 1'!O50</f>
        <v>0</v>
      </c>
      <c r="J50" s="60">
        <v>28.448530000000002</v>
      </c>
      <c r="K50" s="60">
        <v>11237.931629999999</v>
      </c>
      <c r="L50" s="15">
        <f>(E50-K50)/E50*100</f>
        <v>42.166077305234474</v>
      </c>
      <c r="M50" s="15">
        <f>H50/E50*100</f>
        <v>19.760884094100337</v>
      </c>
      <c r="N50" s="10">
        <f t="shared" si="3"/>
        <v>11241.883280000002</v>
      </c>
      <c r="O50" s="10">
        <v>8920.7316900000005</v>
      </c>
      <c r="Q50" s="10">
        <v>2264.12887</v>
      </c>
      <c r="S50" s="10">
        <v>57.02272</v>
      </c>
      <c r="T50" s="10">
        <f>(E50-K50)/K50*100</f>
        <v>72.908900763618561</v>
      </c>
      <c r="U50" s="10">
        <f t="shared" si="4"/>
        <v>74.460153951788683</v>
      </c>
      <c r="V50" s="10">
        <f t="shared" si="5"/>
        <v>69.593406580253529</v>
      </c>
      <c r="W50" s="10">
        <f t="shared" si="6"/>
        <v>-50.110184151159402</v>
      </c>
    </row>
    <row r="51" spans="1:23" x14ac:dyDescent="0.25">
      <c r="A51" s="56">
        <v>44</v>
      </c>
      <c r="B51" s="90" t="s">
        <v>57</v>
      </c>
      <c r="C51" s="56">
        <f>126+46</f>
        <v>172</v>
      </c>
      <c r="D51" s="56">
        <f>140+45</f>
        <v>185</v>
      </c>
      <c r="E51" s="60">
        <f>SUM(F51:J51)</f>
        <v>13096.732480000001</v>
      </c>
      <c r="F51" s="106">
        <v>10931.82977</v>
      </c>
      <c r="G51" s="60">
        <v>0</v>
      </c>
      <c r="H51" s="60">
        <v>1753.96209</v>
      </c>
      <c r="I51" s="60">
        <f>'[1]Форма 1'!O51</f>
        <v>0</v>
      </c>
      <c r="J51" s="60">
        <v>410.94062000000002</v>
      </c>
      <c r="K51" s="60">
        <v>7186.4808700000003</v>
      </c>
      <c r="L51" s="15">
        <f>(E51-K51)/E51*100</f>
        <v>45.127680656419727</v>
      </c>
      <c r="M51" s="15">
        <f>H51/E51*100</f>
        <v>13.392364031856593</v>
      </c>
      <c r="N51" s="10">
        <f t="shared" si="3"/>
        <v>7414.1524500000005</v>
      </c>
      <c r="O51" s="10">
        <v>5974.8428800000002</v>
      </c>
      <c r="Q51" s="10">
        <v>1193.27207</v>
      </c>
      <c r="S51" s="10">
        <v>246.03749999999999</v>
      </c>
      <c r="T51" s="10">
        <f>(E51-K51)/K51*100</f>
        <v>82.241248768536693</v>
      </c>
      <c r="U51" s="10">
        <f t="shared" si="4"/>
        <v>82.964305330820693</v>
      </c>
      <c r="V51" s="10">
        <f t="shared" si="5"/>
        <v>46.987609456073166</v>
      </c>
      <c r="W51" s="10">
        <f t="shared" si="6"/>
        <v>67.023571610018806</v>
      </c>
    </row>
    <row r="52" spans="1:23" x14ac:dyDescent="0.25">
      <c r="A52" s="56">
        <v>45</v>
      </c>
      <c r="B52" s="90" t="s">
        <v>58</v>
      </c>
      <c r="C52" s="56">
        <f>137+55</f>
        <v>192</v>
      </c>
      <c r="D52" s="56">
        <f>144+64</f>
        <v>208</v>
      </c>
      <c r="E52" s="60">
        <f>SUM(F52:J52)</f>
        <v>18970.983749999999</v>
      </c>
      <c r="F52" s="106">
        <v>14496.283219999999</v>
      </c>
      <c r="G52" s="60">
        <v>0</v>
      </c>
      <c r="H52" s="60">
        <v>3972.1068</v>
      </c>
      <c r="I52" s="60">
        <f>'[1]Форма 1'!O52</f>
        <v>174</v>
      </c>
      <c r="J52" s="60">
        <f>502.59373-I52</f>
        <v>328.59372999999999</v>
      </c>
      <c r="K52" s="60">
        <v>12257.52486</v>
      </c>
      <c r="L52" s="15">
        <f>(E52-K52)/E52*100</f>
        <v>35.388037744747955</v>
      </c>
      <c r="M52" s="15">
        <f>H52/E52*100</f>
        <v>20.93780086654705</v>
      </c>
      <c r="N52" s="10">
        <f t="shared" si="3"/>
        <v>12714.15616</v>
      </c>
      <c r="O52" s="10">
        <v>8650.5996400000004</v>
      </c>
      <c r="Q52" s="10">
        <v>3599.8455600000002</v>
      </c>
      <c r="S52" s="10">
        <v>463.71096</v>
      </c>
      <c r="T52" s="10">
        <f>(E52-K52)/K52*100</f>
        <v>54.770102175424014</v>
      </c>
      <c r="U52" s="10">
        <f t="shared" si="4"/>
        <v>67.57547249059833</v>
      </c>
      <c r="V52" s="10">
        <f t="shared" si="5"/>
        <v>10.341033630342736</v>
      </c>
      <c r="W52" s="10">
        <f t="shared" si="6"/>
        <v>-29.138243788760139</v>
      </c>
    </row>
    <row r="53" spans="1:23" x14ac:dyDescent="0.25">
      <c r="A53" s="56">
        <v>46</v>
      </c>
      <c r="B53" s="90" t="s">
        <v>59</v>
      </c>
      <c r="C53" s="56">
        <f>111+40</f>
        <v>151</v>
      </c>
      <c r="D53" s="56">
        <f>109+52</f>
        <v>161</v>
      </c>
      <c r="E53" s="60">
        <f>SUM(F53:J53)</f>
        <v>12425.597320000001</v>
      </c>
      <c r="F53" s="106">
        <v>10235.178959999999</v>
      </c>
      <c r="G53" s="60">
        <v>0</v>
      </c>
      <c r="H53" s="60">
        <v>1828.5431000000001</v>
      </c>
      <c r="I53" s="60">
        <f>'[1]Форма 1'!O53</f>
        <v>0</v>
      </c>
      <c r="J53" s="60">
        <v>361.87526000000003</v>
      </c>
      <c r="K53" s="60">
        <v>7759.6413199999997</v>
      </c>
      <c r="L53" s="15">
        <f>(E53-K53)/E53*100</f>
        <v>37.551160558613702</v>
      </c>
      <c r="M53" s="15">
        <f>H53/E53*100</f>
        <v>14.715937213391042</v>
      </c>
      <c r="N53" s="10">
        <f t="shared" si="3"/>
        <v>7969.4744700000001</v>
      </c>
      <c r="O53" s="10">
        <v>5437.4394300000004</v>
      </c>
      <c r="Q53" s="10">
        <v>2308.3704299999999</v>
      </c>
      <c r="S53" s="10">
        <v>223.66461000000001</v>
      </c>
      <c r="T53" s="10">
        <f>(E53-K53)/K53*100</f>
        <v>60.131078326697732</v>
      </c>
      <c r="U53" s="10">
        <f t="shared" si="4"/>
        <v>88.235273086986794</v>
      </c>
      <c r="V53" s="10">
        <f t="shared" si="5"/>
        <v>-20.786409484547065</v>
      </c>
      <c r="W53" s="10">
        <f t="shared" si="6"/>
        <v>61.793705316187484</v>
      </c>
    </row>
    <row r="54" spans="1:23" x14ac:dyDescent="0.25">
      <c r="A54" s="56">
        <v>47</v>
      </c>
      <c r="B54" s="90" t="s">
        <v>60</v>
      </c>
      <c r="C54" s="56">
        <f>176</f>
        <v>176</v>
      </c>
      <c r="D54" s="56">
        <f>204</f>
        <v>204</v>
      </c>
      <c r="E54" s="60">
        <f>SUM(F54:J54)</f>
        <v>14342.18958</v>
      </c>
      <c r="F54" s="106">
        <v>11271.25647</v>
      </c>
      <c r="G54" s="60">
        <v>0</v>
      </c>
      <c r="H54" s="60">
        <v>3070.9331099999999</v>
      </c>
      <c r="I54" s="60">
        <f>'[1]Форма 1'!O54</f>
        <v>0</v>
      </c>
      <c r="J54" s="60">
        <f>'[1]Форма 1'!K54+'[1]Форма 1'!N54</f>
        <v>0</v>
      </c>
      <c r="K54" s="60">
        <v>9713.5802100000001</v>
      </c>
      <c r="L54" s="15">
        <f>(E54-K54)/E54*100</f>
        <v>32.272682941344861</v>
      </c>
      <c r="M54" s="15">
        <f>H54/E54*100</f>
        <v>21.411884795347962</v>
      </c>
      <c r="N54" s="10">
        <f t="shared" si="3"/>
        <v>0</v>
      </c>
      <c r="T54" s="10">
        <f>(E54-K54)/K54*100</f>
        <v>47.650910065424782</v>
      </c>
      <c r="U54" s="10" t="e">
        <f t="shared" si="4"/>
        <v>#DIV/0!</v>
      </c>
      <c r="V54" s="10" t="e">
        <f t="shared" si="5"/>
        <v>#DIV/0!</v>
      </c>
      <c r="W54" s="10" t="e">
        <f t="shared" si="6"/>
        <v>#DIV/0!</v>
      </c>
    </row>
    <row r="55" spans="1:23" x14ac:dyDescent="0.25">
      <c r="A55" s="56">
        <v>48</v>
      </c>
      <c r="B55" s="90" t="s">
        <v>61</v>
      </c>
      <c r="C55" s="56">
        <f>183+21</f>
        <v>204</v>
      </c>
      <c r="D55" s="56">
        <f>193+26</f>
        <v>219</v>
      </c>
      <c r="E55" s="60">
        <f>SUM(F55:J55)</f>
        <v>16958.325399999998</v>
      </c>
      <c r="F55" s="106">
        <v>12893.14385</v>
      </c>
      <c r="G55" s="60">
        <v>0</v>
      </c>
      <c r="H55" s="60">
        <v>3830.3449000000001</v>
      </c>
      <c r="I55" s="60">
        <f>'[1]Форма 1'!O55</f>
        <v>4.6976300000000002</v>
      </c>
      <c r="J55" s="60">
        <f>234.83665-I55</f>
        <v>230.13901999999999</v>
      </c>
      <c r="K55" s="60">
        <v>9208.24784</v>
      </c>
      <c r="L55" s="15">
        <f>(E55-K55)/E55*100</f>
        <v>45.700724435916293</v>
      </c>
      <c r="M55" s="15">
        <f>H55/E55*100</f>
        <v>22.58681095953024</v>
      </c>
      <c r="N55" s="10">
        <f t="shared" si="3"/>
        <v>9322.1666399999995</v>
      </c>
      <c r="O55" s="10">
        <v>7459.8602000000001</v>
      </c>
      <c r="P55" s="10">
        <v>0</v>
      </c>
      <c r="Q55" s="10">
        <v>1705.93842</v>
      </c>
      <c r="S55" s="10">
        <v>156.36802</v>
      </c>
      <c r="T55" s="10">
        <f>(E55-K55)/K55*100</f>
        <v>84.164519620488392</v>
      </c>
      <c r="U55" s="10">
        <f t="shared" si="4"/>
        <v>72.833585406868622</v>
      </c>
      <c r="V55" s="10">
        <f t="shared" si="5"/>
        <v>124.53008004825872</v>
      </c>
      <c r="W55" s="10">
        <f t="shared" si="6"/>
        <v>47.177805282691423</v>
      </c>
    </row>
    <row r="56" spans="1:23" x14ac:dyDescent="0.25">
      <c r="A56" s="56">
        <v>49</v>
      </c>
      <c r="B56" s="90" t="s">
        <v>62</v>
      </c>
      <c r="C56" s="56">
        <f>86+26</f>
        <v>112</v>
      </c>
      <c r="D56" s="56">
        <f>79+28</f>
        <v>107</v>
      </c>
      <c r="E56" s="60">
        <f>SUM(F56:J56)</f>
        <v>11996.56128</v>
      </c>
      <c r="F56" s="106">
        <v>9824.0102499999994</v>
      </c>
      <c r="G56" s="60">
        <v>0</v>
      </c>
      <c r="H56" s="60">
        <v>1979.2963099999999</v>
      </c>
      <c r="I56" s="60">
        <f>'[1]Форма 1'!O56</f>
        <v>0</v>
      </c>
      <c r="J56" s="60">
        <v>193.25471999999999</v>
      </c>
      <c r="K56" s="60">
        <v>7138.39887</v>
      </c>
      <c r="L56" s="15">
        <f>(E56-K56)/E56*100</f>
        <v>40.496291367254202</v>
      </c>
      <c r="M56" s="15">
        <f>H56/E56*100</f>
        <v>16.498863831086101</v>
      </c>
      <c r="N56" s="10">
        <f t="shared" si="3"/>
        <v>7318.8301999999994</v>
      </c>
      <c r="O56" s="10">
        <v>5765.5368600000002</v>
      </c>
      <c r="Q56" s="10">
        <v>1353.6883399999999</v>
      </c>
      <c r="S56" s="10">
        <v>199.60499999999999</v>
      </c>
      <c r="T56" s="10">
        <f>(E56-K56)/K56*100</f>
        <v>68.05675191977609</v>
      </c>
      <c r="U56" s="10">
        <f t="shared" si="4"/>
        <v>70.391942477322033</v>
      </c>
      <c r="V56" s="10">
        <f t="shared" si="5"/>
        <v>46.215066756059969</v>
      </c>
      <c r="W56" s="10">
        <f t="shared" si="6"/>
        <v>-3.181423311039302</v>
      </c>
    </row>
    <row r="57" spans="1:23" x14ac:dyDescent="0.25">
      <c r="A57" s="56">
        <v>50</v>
      </c>
      <c r="B57" s="90" t="s">
        <v>63</v>
      </c>
      <c r="C57" s="56">
        <f>179</f>
        <v>179</v>
      </c>
      <c r="D57" s="56">
        <f>170+18</f>
        <v>188</v>
      </c>
      <c r="E57" s="60">
        <f>SUM(F57:J57)</f>
        <v>15977.090899999999</v>
      </c>
      <c r="F57" s="106">
        <v>11847.389020000001</v>
      </c>
      <c r="G57" s="60">
        <v>0</v>
      </c>
      <c r="H57" s="60">
        <v>4129.6868800000002</v>
      </c>
      <c r="I57" s="60">
        <f>'[1]Форма 1'!O57</f>
        <v>0</v>
      </c>
      <c r="J57" s="60">
        <v>1.4999999999999999E-2</v>
      </c>
      <c r="K57" s="60">
        <v>10994.971100000001</v>
      </c>
      <c r="L57" s="15">
        <f>(E57-K57)/E57*100</f>
        <v>31.182897006613381</v>
      </c>
      <c r="M57" s="15">
        <f>H57/E57*100</f>
        <v>25.847552009608961</v>
      </c>
      <c r="N57" s="10">
        <f t="shared" si="3"/>
        <v>10917.344659999999</v>
      </c>
      <c r="O57" s="10">
        <v>8188.4489899999999</v>
      </c>
      <c r="Q57" s="10">
        <v>2728.8956699999999</v>
      </c>
      <c r="S57" s="10">
        <v>0</v>
      </c>
      <c r="T57" s="10">
        <f>(E57-K57)/K57*100</f>
        <v>45.312713918820563</v>
      </c>
      <c r="U57" s="10">
        <f t="shared" si="4"/>
        <v>44.684164662543751</v>
      </c>
      <c r="V57" s="10">
        <f t="shared" si="5"/>
        <v>51.331797891709087</v>
      </c>
      <c r="W57" s="10" t="e">
        <f t="shared" si="6"/>
        <v>#DIV/0!</v>
      </c>
    </row>
    <row r="58" spans="1:23" x14ac:dyDescent="0.25">
      <c r="A58" s="56">
        <v>51</v>
      </c>
      <c r="B58" s="90" t="s">
        <v>64</v>
      </c>
      <c r="C58" s="56">
        <f>63</f>
        <v>63</v>
      </c>
      <c r="D58" s="56">
        <f>68+11</f>
        <v>79</v>
      </c>
      <c r="E58" s="60">
        <f>SUM(F58:J58)</f>
        <v>8478.9711499999994</v>
      </c>
      <c r="F58" s="106">
        <v>6606.5959999999995</v>
      </c>
      <c r="G58" s="60">
        <v>0</v>
      </c>
      <c r="H58" s="60">
        <v>1872.3751500000001</v>
      </c>
      <c r="I58" s="60">
        <f>'[1]Форма 1'!O58</f>
        <v>0</v>
      </c>
      <c r="J58" s="60">
        <f>'[1]Форма 1'!K58+'[1]Форма 1'!N58</f>
        <v>0</v>
      </c>
      <c r="K58" s="60">
        <v>4583.13699</v>
      </c>
      <c r="L58" s="15">
        <f>(E58-K58)/E58*100</f>
        <v>45.947015163508368</v>
      </c>
      <c r="M58" s="15">
        <f>H58/E58*100</f>
        <v>22.082574841642199</v>
      </c>
      <c r="N58" s="10">
        <f t="shared" si="3"/>
        <v>4569.8504499999999</v>
      </c>
      <c r="O58" s="10">
        <v>3647.7005899999999</v>
      </c>
      <c r="Q58" s="10">
        <v>922.14985999999999</v>
      </c>
      <c r="S58" s="10">
        <v>0</v>
      </c>
      <c r="T58" s="10">
        <f>(E58-K58)/K58*100</f>
        <v>85.003659469493613</v>
      </c>
      <c r="U58" s="10">
        <f t="shared" si="4"/>
        <v>81.116729210496956</v>
      </c>
      <c r="V58" s="10">
        <f t="shared" si="5"/>
        <v>103.04456262672967</v>
      </c>
      <c r="W58" s="10" t="e">
        <f t="shared" si="6"/>
        <v>#DIV/0!</v>
      </c>
    </row>
    <row r="59" spans="1:23" x14ac:dyDescent="0.25">
      <c r="A59" s="56">
        <v>52</v>
      </c>
      <c r="B59" s="90" t="s">
        <v>65</v>
      </c>
      <c r="C59" s="56">
        <f>86+34</f>
        <v>120</v>
      </c>
      <c r="D59" s="56">
        <f>88+25</f>
        <v>113</v>
      </c>
      <c r="E59" s="60">
        <f>SUM(F59:J59)</f>
        <v>12486.677680000001</v>
      </c>
      <c r="F59" s="106">
        <v>10006.59822</v>
      </c>
      <c r="G59" s="60">
        <v>0</v>
      </c>
      <c r="H59" s="60">
        <v>2236.0934299999999</v>
      </c>
      <c r="I59" s="60">
        <f>'[1]Форма 1'!O59</f>
        <v>0</v>
      </c>
      <c r="J59" s="60">
        <v>243.98603</v>
      </c>
      <c r="K59" s="60">
        <v>7497.5044200000002</v>
      </c>
      <c r="L59" s="15">
        <f>(E59-K59)/E59*100</f>
        <v>39.95597057807614</v>
      </c>
      <c r="M59" s="15">
        <f>H59/E59*100</f>
        <v>17.9078333509126</v>
      </c>
      <c r="N59" s="10">
        <f t="shared" si="3"/>
        <v>6162.9613319999999</v>
      </c>
      <c r="O59" s="10">
        <v>5836.7461599999997</v>
      </c>
      <c r="P59" s="10">
        <v>0</v>
      </c>
      <c r="Q59" s="10">
        <v>163.73822200000001</v>
      </c>
      <c r="S59" s="10">
        <v>162.47694999999999</v>
      </c>
      <c r="T59" s="10">
        <f>(E59-K59)/K59*100</f>
        <v>66.544452400602921</v>
      </c>
      <c r="U59" s="10">
        <f t="shared" si="4"/>
        <v>71.441380962847973</v>
      </c>
      <c r="V59" s="10">
        <f t="shared" si="5"/>
        <v>1265.6514665219706</v>
      </c>
      <c r="W59" s="10">
        <f t="shared" si="6"/>
        <v>50.166549778291639</v>
      </c>
    </row>
    <row r="60" spans="1:23" x14ac:dyDescent="0.25">
      <c r="A60" s="56">
        <v>53</v>
      </c>
      <c r="B60" s="90" t="s">
        <v>66</v>
      </c>
      <c r="C60" s="56">
        <f>227</f>
        <v>227</v>
      </c>
      <c r="D60" s="56">
        <f>226</f>
        <v>226</v>
      </c>
      <c r="E60" s="60">
        <f>SUM(F60:J60)</f>
        <v>17011.357019999999</v>
      </c>
      <c r="F60" s="106">
        <v>13640.526970000001</v>
      </c>
      <c r="G60" s="60">
        <v>0</v>
      </c>
      <c r="H60" s="60">
        <v>3367.0909700000002</v>
      </c>
      <c r="I60" s="60">
        <f>'[1]Форма 1'!O60</f>
        <v>0</v>
      </c>
      <c r="J60" s="60">
        <v>3.73908</v>
      </c>
      <c r="K60" s="60">
        <v>13153.621300000001</v>
      </c>
      <c r="L60" s="15">
        <f>(E60-K60)/E60*100</f>
        <v>22.677413186170369</v>
      </c>
      <c r="M60" s="15">
        <f>H60/E60*100</f>
        <v>19.793194429117921</v>
      </c>
      <c r="N60" s="10">
        <f t="shared" si="3"/>
        <v>13121.672909999999</v>
      </c>
      <c r="O60" s="10">
        <v>8658.4990699999998</v>
      </c>
      <c r="Q60" s="10">
        <v>4410.7938400000003</v>
      </c>
      <c r="S60" s="10">
        <v>52.38</v>
      </c>
      <c r="T60" s="10">
        <f>(E60-K60)/K60*100</f>
        <v>29.328316757910606</v>
      </c>
      <c r="U60" s="10">
        <f t="shared" si="4"/>
        <v>57.53916307806454</v>
      </c>
      <c r="V60" s="10">
        <f t="shared" si="5"/>
        <v>-23.662472286394596</v>
      </c>
      <c r="W60" s="10">
        <f t="shared" si="6"/>
        <v>-92.861626575028637</v>
      </c>
    </row>
    <row r="61" spans="1:23" x14ac:dyDescent="0.25">
      <c r="A61" s="56">
        <v>54</v>
      </c>
      <c r="B61" s="90" t="s">
        <v>67</v>
      </c>
      <c r="C61" s="56">
        <f>83</f>
        <v>83</v>
      </c>
      <c r="D61" s="56">
        <f>88+30</f>
        <v>118</v>
      </c>
      <c r="E61" s="60">
        <f>SUM(F61:J61)</f>
        <v>8987.5182800000002</v>
      </c>
      <c r="F61" s="106">
        <v>7296.7109399999999</v>
      </c>
      <c r="G61" s="60">
        <v>0</v>
      </c>
      <c r="H61" s="60">
        <v>1653.0924</v>
      </c>
      <c r="I61" s="60">
        <f>'[1]Форма 1'!O61</f>
        <v>0</v>
      </c>
      <c r="J61" s="60">
        <v>37.714939999999999</v>
      </c>
      <c r="K61" s="60">
        <v>5363.8748299999997</v>
      </c>
      <c r="L61" s="15">
        <f>(E61-K61)/E61*100</f>
        <v>40.318621193391337</v>
      </c>
      <c r="M61" s="15">
        <f>H61/E61*100</f>
        <v>18.393202088708296</v>
      </c>
      <c r="N61" s="10">
        <f t="shared" si="3"/>
        <v>5385.9987200000005</v>
      </c>
      <c r="O61" s="10">
        <v>4341.8979200000003</v>
      </c>
      <c r="P61" s="10">
        <v>0</v>
      </c>
      <c r="Q61" s="10">
        <v>1017.21108</v>
      </c>
      <c r="S61" s="10">
        <v>26.889720000000001</v>
      </c>
      <c r="T61" s="10">
        <f>(E61-K61)/K61*100</f>
        <v>67.556450604198773</v>
      </c>
      <c r="U61" s="10">
        <f t="shared" si="4"/>
        <v>68.053488922190027</v>
      </c>
      <c r="V61" s="10">
        <f t="shared" si="5"/>
        <v>62.512229025267786</v>
      </c>
      <c r="W61" s="10">
        <f t="shared" si="6"/>
        <v>40.257838311443919</v>
      </c>
    </row>
    <row r="62" spans="1:23" x14ac:dyDescent="0.25">
      <c r="A62" s="56">
        <v>55</v>
      </c>
      <c r="B62" s="90" t="s">
        <v>68</v>
      </c>
      <c r="C62" s="56">
        <f>182</f>
        <v>182</v>
      </c>
      <c r="D62" s="56">
        <f>193+25</f>
        <v>218</v>
      </c>
      <c r="E62" s="60">
        <f>SUM(F62:J62)</f>
        <v>14379.95652</v>
      </c>
      <c r="F62" s="106">
        <v>12154.61983</v>
      </c>
      <c r="G62" s="60">
        <v>0</v>
      </c>
      <c r="H62" s="60">
        <v>2225.3366900000001</v>
      </c>
      <c r="I62" s="60">
        <f>'[1]Форма 1'!O62</f>
        <v>0</v>
      </c>
      <c r="J62" s="60">
        <f>'[1]Форма 1'!K62+'[1]Форма 1'!N62</f>
        <v>0</v>
      </c>
      <c r="K62" s="60">
        <v>8845.71803</v>
      </c>
      <c r="L62" s="15">
        <f>(E62-K62)/E62*100</f>
        <v>38.485780414585008</v>
      </c>
      <c r="M62" s="15">
        <f>H62/E62*100</f>
        <v>15.475267167219503</v>
      </c>
      <c r="N62" s="10">
        <f t="shared" si="3"/>
        <v>0</v>
      </c>
      <c r="T62" s="10">
        <f>(E62-K62)/K62*100</f>
        <v>62.564039134310953</v>
      </c>
      <c r="U62" s="10" t="e">
        <f t="shared" si="4"/>
        <v>#DIV/0!</v>
      </c>
      <c r="V62" s="10" t="e">
        <f t="shared" si="5"/>
        <v>#DIV/0!</v>
      </c>
      <c r="W62" s="10" t="e">
        <f t="shared" si="6"/>
        <v>#DIV/0!</v>
      </c>
    </row>
    <row r="63" spans="1:23" x14ac:dyDescent="0.25">
      <c r="A63" s="56">
        <v>56</v>
      </c>
      <c r="B63" s="90" t="s">
        <v>69</v>
      </c>
      <c r="C63" s="56">
        <f>203+39</f>
        <v>242</v>
      </c>
      <c r="D63" s="56">
        <f>211+50</f>
        <v>261</v>
      </c>
      <c r="E63" s="60">
        <f>SUM(F63:J63)</f>
        <v>19164.04019</v>
      </c>
      <c r="F63" s="106">
        <v>14693.137129999999</v>
      </c>
      <c r="G63" s="60">
        <v>0</v>
      </c>
      <c r="H63" s="60">
        <v>4261.4200899999996</v>
      </c>
      <c r="I63" s="60">
        <f>'[1]Форма 1'!O63</f>
        <v>70.2</v>
      </c>
      <c r="J63" s="60">
        <f>209.48297-I63</f>
        <v>139.28296999999998</v>
      </c>
      <c r="K63" s="60">
        <v>12529.258239999999</v>
      </c>
      <c r="L63" s="15">
        <f>(E63-K63)/E63*100</f>
        <v>34.620997890946299</v>
      </c>
      <c r="M63" s="15">
        <f>H63/E63*100</f>
        <v>22.23654327454215</v>
      </c>
      <c r="N63" s="10">
        <f t="shared" si="3"/>
        <v>12756.32567</v>
      </c>
      <c r="O63" s="10">
        <v>9653.1338099999994</v>
      </c>
      <c r="Q63" s="10">
        <v>2820.61879</v>
      </c>
      <c r="S63" s="10">
        <v>282.57306999999997</v>
      </c>
      <c r="T63" s="10">
        <f>(E63-K63)/K63*100</f>
        <v>52.9543076127067</v>
      </c>
      <c r="U63" s="10">
        <f t="shared" si="4"/>
        <v>52.211058286365976</v>
      </c>
      <c r="V63" s="10">
        <f t="shared" si="5"/>
        <v>51.081036016214</v>
      </c>
      <c r="W63" s="10">
        <f t="shared" si="6"/>
        <v>-50.709043151210409</v>
      </c>
    </row>
    <row r="64" spans="1:23" x14ac:dyDescent="0.25">
      <c r="A64" s="56">
        <v>57</v>
      </c>
      <c r="B64" s="90" t="s">
        <v>70</v>
      </c>
      <c r="C64" s="56">
        <f>130+48</f>
        <v>178</v>
      </c>
      <c r="D64" s="56">
        <f>137+65</f>
        <v>202</v>
      </c>
      <c r="E64" s="60">
        <f>SUM(F64:J64)</f>
        <v>17525.213549999997</v>
      </c>
      <c r="F64" s="106">
        <v>13264.03429</v>
      </c>
      <c r="G64" s="60">
        <v>0</v>
      </c>
      <c r="H64" s="60">
        <v>3878.77367</v>
      </c>
      <c r="I64" s="60">
        <f>'[1]Форма 1'!O64</f>
        <v>13</v>
      </c>
      <c r="J64" s="60">
        <f>382.40559-I64</f>
        <v>369.40559000000002</v>
      </c>
      <c r="K64" s="60">
        <v>8465.1330199999993</v>
      </c>
      <c r="L64" s="15">
        <f>(E64-K64)/E64*100</f>
        <v>51.697404451884687</v>
      </c>
      <c r="M64" s="15">
        <f>H64/E64*100</f>
        <v>22.132532987023147</v>
      </c>
      <c r="N64" s="10">
        <f t="shared" si="3"/>
        <v>8656.3936400000002</v>
      </c>
      <c r="O64" s="10">
        <v>6770.1316699999998</v>
      </c>
      <c r="Q64" s="10">
        <v>1630.4566</v>
      </c>
      <c r="S64" s="10">
        <v>255.80537000000001</v>
      </c>
      <c r="T64" s="10">
        <f>(E64-K64)/K64*100</f>
        <v>107.02821218041532</v>
      </c>
      <c r="U64" s="10">
        <f t="shared" si="4"/>
        <v>95.919886592102273</v>
      </c>
      <c r="V64" s="10">
        <f t="shared" si="5"/>
        <v>137.8949350752421</v>
      </c>
      <c r="W64" s="10">
        <f t="shared" si="6"/>
        <v>44.408848805636879</v>
      </c>
    </row>
    <row r="65" spans="1:23" x14ac:dyDescent="0.25">
      <c r="A65" s="56">
        <v>58</v>
      </c>
      <c r="B65" s="90" t="s">
        <v>71</v>
      </c>
      <c r="C65" s="56">
        <f>178</f>
        <v>178</v>
      </c>
      <c r="D65" s="56">
        <f>180+24</f>
        <v>204</v>
      </c>
      <c r="E65" s="60">
        <f>SUM(F65:J65)</f>
        <v>16628.645850000001</v>
      </c>
      <c r="F65" s="106">
        <v>12740.3423</v>
      </c>
      <c r="G65" s="60">
        <v>0</v>
      </c>
      <c r="H65" s="60">
        <v>3888.3035500000001</v>
      </c>
      <c r="I65" s="60">
        <f>'[1]Форма 1'!O65</f>
        <v>0</v>
      </c>
      <c r="J65" s="60">
        <f>'[1]Форма 1'!K65+'[1]Форма 1'!N65</f>
        <v>0</v>
      </c>
      <c r="K65" s="60">
        <v>8694.0774399999991</v>
      </c>
      <c r="L65" s="15">
        <f>(E65-K65)/E65*100</f>
        <v>47.716263137566315</v>
      </c>
      <c r="M65" s="15">
        <f>H65/E65*100</f>
        <v>23.383164119765048</v>
      </c>
      <c r="N65" s="10">
        <f t="shared" si="3"/>
        <v>8631.8628200000003</v>
      </c>
      <c r="O65" s="10">
        <v>6993.8427300000003</v>
      </c>
      <c r="P65" s="10">
        <v>0</v>
      </c>
      <c r="Q65" s="10">
        <v>1638.02009</v>
      </c>
      <c r="S65" s="10">
        <v>0</v>
      </c>
      <c r="T65" s="10">
        <f>(E65-K65)/K65*100</f>
        <v>91.264064125934468</v>
      </c>
      <c r="U65" s="10">
        <f t="shared" si="4"/>
        <v>82.165124264954699</v>
      </c>
      <c r="V65" s="10">
        <f t="shared" si="5"/>
        <v>137.37825767448311</v>
      </c>
      <c r="W65" s="10" t="e">
        <f t="shared" si="6"/>
        <v>#DIV/0!</v>
      </c>
    </row>
    <row r="66" spans="1:23" x14ac:dyDescent="0.25">
      <c r="A66" s="56">
        <v>59</v>
      </c>
      <c r="B66" s="90" t="s">
        <v>72</v>
      </c>
      <c r="C66" s="56">
        <f>32+18</f>
        <v>50</v>
      </c>
      <c r="D66" s="56">
        <f>30+19</f>
        <v>49</v>
      </c>
      <c r="E66" s="60">
        <f>SUM(F66:J66)</f>
        <v>6980.5868900000005</v>
      </c>
      <c r="F66" s="106">
        <v>5452.3483800000004</v>
      </c>
      <c r="G66" s="60">
        <v>0</v>
      </c>
      <c r="H66" s="60">
        <v>1363.3322499999999</v>
      </c>
      <c r="I66" s="60">
        <f>'[1]Форма 1'!O66</f>
        <v>0</v>
      </c>
      <c r="J66" s="60">
        <v>164.90626</v>
      </c>
      <c r="K66" s="60">
        <v>3746.1015699999998</v>
      </c>
      <c r="L66" s="15">
        <f>(E66-K66)/E66*100</f>
        <v>46.335435271689605</v>
      </c>
      <c r="M66" s="15">
        <f>H66/E66*100</f>
        <v>19.530338515706088</v>
      </c>
      <c r="N66" s="10">
        <f t="shared" si="3"/>
        <v>3820.6562299999996</v>
      </c>
      <c r="O66" s="10">
        <v>3158.6106599999998</v>
      </c>
      <c r="Q66" s="10">
        <v>531.07043999999996</v>
      </c>
      <c r="S66" s="10">
        <v>130.97513000000001</v>
      </c>
      <c r="T66" s="10">
        <f>(E66-K66)/K66*100</f>
        <v>86.342702128068595</v>
      </c>
      <c r="U66" s="10">
        <f t="shared" si="4"/>
        <v>72.61856451785674</v>
      </c>
      <c r="V66" s="10">
        <f t="shared" si="5"/>
        <v>156.71401518789111</v>
      </c>
      <c r="W66" s="10">
        <f t="shared" si="6"/>
        <v>25.90654424240693</v>
      </c>
    </row>
    <row r="67" spans="1:23" x14ac:dyDescent="0.25">
      <c r="A67" s="56">
        <v>60</v>
      </c>
      <c r="B67" s="90" t="s">
        <v>73</v>
      </c>
      <c r="C67" s="56">
        <f>74</f>
        <v>74</v>
      </c>
      <c r="D67" s="56">
        <f>85+13</f>
        <v>98</v>
      </c>
      <c r="E67" s="60">
        <f>SUM(F67:J67)</f>
        <v>7217.7900600000003</v>
      </c>
      <c r="F67" s="106">
        <v>5523.2375000000002</v>
      </c>
      <c r="G67" s="60">
        <v>0</v>
      </c>
      <c r="H67" s="60">
        <v>1638.6483599999999</v>
      </c>
      <c r="I67" s="60">
        <f>'[1]Форма 1'!O67</f>
        <v>0</v>
      </c>
      <c r="J67" s="60">
        <v>55.904200000000003</v>
      </c>
      <c r="K67" s="60">
        <v>4031.74334</v>
      </c>
      <c r="L67" s="15">
        <f>(E67-K67)/E67*100</f>
        <v>44.141582028779595</v>
      </c>
      <c r="M67" s="15">
        <f>H67/E67*100</f>
        <v>22.702909704746936</v>
      </c>
      <c r="N67" s="10">
        <f t="shared" si="3"/>
        <v>0</v>
      </c>
      <c r="T67" s="10">
        <f>(E67-K67)/K67*100</f>
        <v>79.024046208258895</v>
      </c>
      <c r="U67" s="10" t="e">
        <f t="shared" si="4"/>
        <v>#DIV/0!</v>
      </c>
      <c r="V67" s="10" t="e">
        <f t="shared" si="5"/>
        <v>#DIV/0!</v>
      </c>
      <c r="W67" s="10" t="e">
        <f t="shared" si="6"/>
        <v>#DIV/0!</v>
      </c>
    </row>
    <row r="68" spans="1:23" x14ac:dyDescent="0.25">
      <c r="A68" s="56">
        <v>61</v>
      </c>
      <c r="B68" s="90" t="s">
        <v>74</v>
      </c>
      <c r="C68" s="56">
        <v>605</v>
      </c>
      <c r="D68" s="56">
        <v>652</v>
      </c>
      <c r="E68" s="60">
        <f>SUM(F68:J68)</f>
        <v>3023.4128799999999</v>
      </c>
      <c r="F68" s="106">
        <v>2144.6511999999998</v>
      </c>
      <c r="G68" s="60">
        <v>0</v>
      </c>
      <c r="H68" s="60">
        <v>877.36167999999998</v>
      </c>
      <c r="I68" s="60">
        <f>'[1]Форма 1'!O68</f>
        <v>0</v>
      </c>
      <c r="J68" s="60">
        <v>1.4</v>
      </c>
      <c r="K68" s="60">
        <v>1482.66869</v>
      </c>
      <c r="L68" s="15">
        <f>(E68-K68)/E68*100</f>
        <v>50.96042952625114</v>
      </c>
      <c r="M68" s="15">
        <f>H68/E68*100</f>
        <v>29.01891719135628</v>
      </c>
      <c r="N68" s="10">
        <f t="shared" si="3"/>
        <v>1475.2594200000001</v>
      </c>
      <c r="O68" s="10">
        <v>1434.26737</v>
      </c>
      <c r="Q68" s="10">
        <v>39.59205</v>
      </c>
      <c r="S68" s="10">
        <v>1.4</v>
      </c>
      <c r="T68" s="10">
        <f>(E68-K68)/K68*100</f>
        <v>103.91695733454786</v>
      </c>
      <c r="U68" s="10">
        <f t="shared" si="4"/>
        <v>49.529386560610369</v>
      </c>
      <c r="V68" s="10">
        <f t="shared" si="5"/>
        <v>2116.0046777067619</v>
      </c>
      <c r="W68" s="10">
        <f t="shared" si="6"/>
        <v>0</v>
      </c>
    </row>
    <row r="69" spans="1:23" x14ac:dyDescent="0.25">
      <c r="A69" s="56">
        <v>62</v>
      </c>
      <c r="B69" s="90" t="s">
        <v>75</v>
      </c>
      <c r="C69" s="56">
        <v>277</v>
      </c>
      <c r="D69" s="56">
        <v>317</v>
      </c>
      <c r="E69" s="60">
        <f>SUM(F69:J69)</f>
        <v>4105.8041199999998</v>
      </c>
      <c r="F69" s="106">
        <v>2925.9519799999998</v>
      </c>
      <c r="G69" s="60">
        <v>0</v>
      </c>
      <c r="H69" s="60">
        <v>1168.0979</v>
      </c>
      <c r="I69" s="60">
        <f>'[1]Форма 1'!O69</f>
        <v>0</v>
      </c>
      <c r="J69" s="60">
        <v>11.754239999999999</v>
      </c>
      <c r="K69" s="60">
        <v>2200.8464800000002</v>
      </c>
      <c r="L69" s="15">
        <f>(E69-K69)/E69*100</f>
        <v>46.396700483607091</v>
      </c>
      <c r="M69" s="15">
        <f>H69/E69*100</f>
        <v>28.449917868950848</v>
      </c>
      <c r="N69" s="10">
        <f t="shared" si="3"/>
        <v>2201.7830899999999</v>
      </c>
      <c r="O69" s="10">
        <v>2084.4100899999999</v>
      </c>
      <c r="Q69" s="10">
        <v>101.94502</v>
      </c>
      <c r="S69" s="10">
        <v>15.42798</v>
      </c>
      <c r="T69" s="10">
        <f>(E69-K69)/K69*100</f>
        <v>86.555680158118051</v>
      </c>
      <c r="U69" s="10">
        <f t="shared" si="4"/>
        <v>40.373144134991215</v>
      </c>
      <c r="V69" s="10">
        <f t="shared" si="5"/>
        <v>1045.8116345457581</v>
      </c>
      <c r="W69" s="10">
        <f t="shared" si="6"/>
        <v>-23.812190578416619</v>
      </c>
    </row>
    <row r="70" spans="1:23" x14ac:dyDescent="0.25">
      <c r="A70" s="56">
        <v>63</v>
      </c>
      <c r="B70" s="90" t="s">
        <v>76</v>
      </c>
      <c r="C70" s="56">
        <v>447</v>
      </c>
      <c r="D70" s="56">
        <v>458</v>
      </c>
      <c r="E70" s="60">
        <f>SUM(F70:J70)</f>
        <v>5263.9032699999998</v>
      </c>
      <c r="F70" s="106">
        <v>3660.58077</v>
      </c>
      <c r="G70" s="60">
        <v>0</v>
      </c>
      <c r="H70" s="60">
        <v>1603.3225</v>
      </c>
      <c r="I70" s="60">
        <f>'[1]Форма 1'!O70</f>
        <v>0</v>
      </c>
      <c r="J70" s="60">
        <f>'[1]Форма 1'!K70+'[1]Форма 1'!N70</f>
        <v>0</v>
      </c>
      <c r="K70" s="60">
        <v>2770.5178500000002</v>
      </c>
      <c r="L70" s="15">
        <f>(E70-K70)/E70*100</f>
        <v>47.367614716825898</v>
      </c>
      <c r="M70" s="15">
        <f>H70/E70*100</f>
        <v>30.458813883181406</v>
      </c>
      <c r="N70" s="10">
        <f t="shared" si="3"/>
        <v>2760.36364</v>
      </c>
      <c r="O70" s="10">
        <v>2558.00974</v>
      </c>
      <c r="Q70" s="10">
        <v>202.35390000000001</v>
      </c>
      <c r="S70" s="10">
        <v>0</v>
      </c>
      <c r="T70" s="10">
        <f>(E70-K70)/K70*100</f>
        <v>89.997089172336473</v>
      </c>
      <c r="U70" s="10">
        <f t="shared" si="4"/>
        <v>43.102690844328059</v>
      </c>
      <c r="V70" s="10">
        <f t="shared" si="5"/>
        <v>692.33585317604445</v>
      </c>
      <c r="W70" s="10" t="e">
        <f t="shared" si="6"/>
        <v>#DIV/0!</v>
      </c>
    </row>
    <row r="71" spans="1:23" x14ac:dyDescent="0.25">
      <c r="A71" s="56">
        <v>64</v>
      </c>
      <c r="B71" s="90" t="s">
        <v>77</v>
      </c>
      <c r="C71" s="56">
        <v>260</v>
      </c>
      <c r="D71" s="56">
        <v>283</v>
      </c>
      <c r="E71" s="60">
        <f>SUM(F71:J71)</f>
        <v>2870.60079</v>
      </c>
      <c r="F71" s="106">
        <v>2184.4081700000002</v>
      </c>
      <c r="G71" s="60">
        <v>0</v>
      </c>
      <c r="H71" s="60">
        <v>685.99261999999999</v>
      </c>
      <c r="I71" s="60">
        <f>'[1]Форма 1'!O71</f>
        <v>0</v>
      </c>
      <c r="J71" s="60">
        <v>0.2</v>
      </c>
      <c r="K71" s="60">
        <v>1872.7827199999999</v>
      </c>
      <c r="L71" s="15">
        <f>(E71-K71)/E71*100</f>
        <v>34.75990369249498</v>
      </c>
      <c r="M71" s="15">
        <f>H71/E71*100</f>
        <v>23.897179377561585</v>
      </c>
      <c r="N71" s="10">
        <f t="shared" si="3"/>
        <v>1896.02503</v>
      </c>
      <c r="O71" s="10">
        <v>1737.0924500000001</v>
      </c>
      <c r="Q71" s="10">
        <v>133.93258</v>
      </c>
      <c r="S71" s="10">
        <v>25</v>
      </c>
      <c r="T71" s="10">
        <f>(E71-K71)/K71*100</f>
        <v>53.279969926249649</v>
      </c>
      <c r="U71" s="10">
        <f t="shared" si="4"/>
        <v>25.750829784563283</v>
      </c>
      <c r="V71" s="10">
        <f t="shared" si="5"/>
        <v>412.19249267056597</v>
      </c>
      <c r="W71" s="10">
        <f t="shared" si="6"/>
        <v>-99.2</v>
      </c>
    </row>
    <row r="72" spans="1:23" x14ac:dyDescent="0.25">
      <c r="A72" s="56">
        <v>65</v>
      </c>
      <c r="B72" s="90" t="s">
        <v>78</v>
      </c>
      <c r="C72" s="56">
        <v>439</v>
      </c>
      <c r="D72" s="56">
        <v>632</v>
      </c>
      <c r="E72" s="60">
        <f>SUM(F72:J72)</f>
        <v>4097.7302499999996</v>
      </c>
      <c r="F72" s="106">
        <v>3139.4765299999999</v>
      </c>
      <c r="G72" s="60">
        <v>0</v>
      </c>
      <c r="H72" s="60">
        <v>958.25372000000004</v>
      </c>
      <c r="I72" s="60">
        <f>'[1]Форма 1'!O72</f>
        <v>0</v>
      </c>
      <c r="J72" s="60">
        <f>'[1]Форма 1'!K72+'[1]Форма 1'!N72</f>
        <v>0</v>
      </c>
      <c r="K72" s="60">
        <v>2456.7957299999998</v>
      </c>
      <c r="L72" s="15">
        <f>(E72-K72)/E72*100</f>
        <v>40.044961964004337</v>
      </c>
      <c r="M72" s="15">
        <f>H72/E72*100</f>
        <v>23.384987823442017</v>
      </c>
      <c r="N72" s="10">
        <f t="shared" si="3"/>
        <v>2456.5697300000002</v>
      </c>
      <c r="O72" s="10">
        <v>2245.1881100000001</v>
      </c>
      <c r="Q72" s="10">
        <v>211.38162</v>
      </c>
      <c r="S72" s="10">
        <v>0</v>
      </c>
      <c r="T72" s="10">
        <f>(E72-K72)/K72*100</f>
        <v>66.791654672893785</v>
      </c>
      <c r="U72" s="10">
        <f t="shared" si="4"/>
        <v>39.831336003289266</v>
      </c>
      <c r="V72" s="10">
        <f t="shared" si="5"/>
        <v>353.32878043038937</v>
      </c>
      <c r="W72" s="10" t="e">
        <f t="shared" si="6"/>
        <v>#DIV/0!</v>
      </c>
    </row>
    <row r="73" spans="1:23" x14ac:dyDescent="0.25">
      <c r="A73" s="56">
        <v>66</v>
      </c>
      <c r="B73" s="90" t="s">
        <v>79</v>
      </c>
      <c r="C73" s="56">
        <v>282</v>
      </c>
      <c r="D73" s="56">
        <v>301</v>
      </c>
      <c r="E73" s="60">
        <f>SUM(F73:J73)</f>
        <v>1407.73873</v>
      </c>
      <c r="F73" s="106">
        <v>1085.04099</v>
      </c>
      <c r="G73" s="60">
        <v>0</v>
      </c>
      <c r="H73" s="60">
        <v>322.69774000000001</v>
      </c>
      <c r="I73" s="60">
        <f>'[1]Форма 1'!O73</f>
        <v>0</v>
      </c>
      <c r="J73" s="60">
        <f>'[1]Форма 1'!K73+'[1]Форма 1'!N73</f>
        <v>0</v>
      </c>
      <c r="K73" s="60">
        <v>817.15063999999995</v>
      </c>
      <c r="L73" s="15">
        <f>(E73-K73)/E73*100</f>
        <v>41.952961683451022</v>
      </c>
      <c r="M73" s="15">
        <f>H73/E73*100</f>
        <v>22.923127219778916</v>
      </c>
      <c r="N73" s="10">
        <f t="shared" ref="N73:N76" si="7">SUM(O73:S73)</f>
        <v>796.55601999999999</v>
      </c>
      <c r="O73" s="10">
        <v>763.64045999999996</v>
      </c>
      <c r="Q73" s="10">
        <v>32.915559999999999</v>
      </c>
      <c r="S73" s="10">
        <v>0</v>
      </c>
      <c r="T73" s="10">
        <f>(E73-K73)/K73*100</f>
        <v>72.274077886055395</v>
      </c>
      <c r="U73" s="10">
        <f t="shared" si="4"/>
        <v>42.087938871127918</v>
      </c>
      <c r="V73" s="10">
        <f t="shared" si="5"/>
        <v>880.38052519841688</v>
      </c>
      <c r="W73" s="10" t="e">
        <f t="shared" si="6"/>
        <v>#DIV/0!</v>
      </c>
    </row>
    <row r="74" spans="1:23" x14ac:dyDescent="0.25">
      <c r="A74" s="56">
        <v>67</v>
      </c>
      <c r="B74" s="90" t="s">
        <v>80</v>
      </c>
      <c r="C74" s="56">
        <v>384</v>
      </c>
      <c r="D74" s="56">
        <v>490</v>
      </c>
      <c r="E74" s="60">
        <f>SUM(F74:J74)</f>
        <v>6602.3011600000009</v>
      </c>
      <c r="F74" s="106">
        <v>3582.0895300000002</v>
      </c>
      <c r="G74" s="60">
        <v>0</v>
      </c>
      <c r="H74" s="60">
        <v>2966.23677</v>
      </c>
      <c r="I74" s="60">
        <f>'[1]Форма 1'!O74</f>
        <v>0</v>
      </c>
      <c r="J74" s="60">
        <v>53.97486</v>
      </c>
      <c r="K74" s="60">
        <v>3159.2986500000002</v>
      </c>
      <c r="L74" s="15">
        <f>(E74-K74)/E74*100</f>
        <v>52.148522561488242</v>
      </c>
      <c r="M74" s="15">
        <f>H74/E74*100</f>
        <v>44.92731697807011</v>
      </c>
      <c r="N74" s="10">
        <f t="shared" si="7"/>
        <v>3118.0213700000004</v>
      </c>
      <c r="O74" s="10">
        <v>2175.6597000000002</v>
      </c>
      <c r="Q74" s="10">
        <v>905.56847000000005</v>
      </c>
      <c r="S74" s="10">
        <v>36.793199999999999</v>
      </c>
      <c r="T74" s="10">
        <f>(E74-K74)/K74*100</f>
        <v>108.97996332192275</v>
      </c>
      <c r="U74" s="10">
        <f t="shared" si="4"/>
        <v>64.643833316395941</v>
      </c>
      <c r="V74" s="10">
        <f t="shared" si="5"/>
        <v>227.55521733215818</v>
      </c>
      <c r="W74" s="10">
        <f t="shared" si="6"/>
        <v>46.697922442190411</v>
      </c>
    </row>
    <row r="75" spans="1:23" x14ac:dyDescent="0.25">
      <c r="A75" s="56">
        <v>68</v>
      </c>
      <c r="B75" s="90" t="s">
        <v>81</v>
      </c>
      <c r="C75" s="56">
        <v>212</v>
      </c>
      <c r="D75" s="56">
        <v>212</v>
      </c>
      <c r="E75" s="60">
        <f>SUM(F75:J75)</f>
        <v>3532.6064500000002</v>
      </c>
      <c r="F75" s="106">
        <v>2109.4285100000002</v>
      </c>
      <c r="G75" s="60">
        <v>0</v>
      </c>
      <c r="H75" s="60">
        <v>1416.5089399999999</v>
      </c>
      <c r="I75" s="60">
        <f>'[1]Форма 1'!O75</f>
        <v>0</v>
      </c>
      <c r="J75" s="60">
        <v>6.6689999999999996</v>
      </c>
      <c r="K75" s="60">
        <v>1657.46478</v>
      </c>
      <c r="L75" s="15">
        <f>(E75-K75)/E75*100</f>
        <v>53.080967170854819</v>
      </c>
      <c r="M75" s="15">
        <f>H75/E75*100</f>
        <v>40.098124714684815</v>
      </c>
      <c r="N75" s="10">
        <f t="shared" si="7"/>
        <v>1668.3478500000001</v>
      </c>
      <c r="O75" s="10">
        <v>1497.64391</v>
      </c>
      <c r="Q75" s="10">
        <v>158.59317999999999</v>
      </c>
      <c r="S75" s="10">
        <v>12.110760000000001</v>
      </c>
      <c r="T75" s="10">
        <f>(E75-K75)/K75*100</f>
        <v>113.13312310624181</v>
      </c>
      <c r="U75" s="10">
        <f t="shared" si="4"/>
        <v>40.849803876276582</v>
      </c>
      <c r="V75" s="10">
        <f t="shared" si="5"/>
        <v>793.17140875793018</v>
      </c>
      <c r="W75" s="10">
        <f t="shared" si="6"/>
        <v>-44.933265955233203</v>
      </c>
    </row>
    <row r="76" spans="1:23" x14ac:dyDescent="0.25">
      <c r="A76" s="56">
        <v>69</v>
      </c>
      <c r="B76" s="90" t="s">
        <v>82</v>
      </c>
      <c r="C76" s="56">
        <v>190</v>
      </c>
      <c r="D76" s="56">
        <v>238</v>
      </c>
      <c r="E76" s="60">
        <f>SUM(F76:J76)</f>
        <v>1652.34347</v>
      </c>
      <c r="F76" s="106">
        <v>1162.39085</v>
      </c>
      <c r="G76" s="60">
        <v>0</v>
      </c>
      <c r="H76" s="60">
        <v>468.55072000000001</v>
      </c>
      <c r="I76" s="60">
        <f>'[1]Форма 1'!O76</f>
        <v>0</v>
      </c>
      <c r="J76" s="60">
        <v>21.401900000000001</v>
      </c>
      <c r="K76" s="60">
        <v>964.62243000000001</v>
      </c>
      <c r="L76" s="15"/>
      <c r="M76" s="15"/>
      <c r="N76" s="10">
        <f t="shared" si="7"/>
        <v>995.70419000000004</v>
      </c>
      <c r="O76" s="10">
        <v>915.30555000000004</v>
      </c>
      <c r="Q76" s="10">
        <v>48.774760000000001</v>
      </c>
      <c r="S76" s="10">
        <v>31.62388</v>
      </c>
      <c r="T76" s="10">
        <f>(E76-K76)/K76*100</f>
        <v>71.294323935635632</v>
      </c>
      <c r="U76" s="10">
        <f t="shared" si="4"/>
        <v>26.994843415950005</v>
      </c>
      <c r="V76" s="10">
        <f t="shared" si="5"/>
        <v>860.64177455716845</v>
      </c>
      <c r="W76" s="10">
        <f t="shared" si="6"/>
        <v>-32.32361114448954</v>
      </c>
    </row>
    <row r="77" spans="1:23" ht="90" x14ac:dyDescent="0.25">
      <c r="A77" s="36">
        <v>70</v>
      </c>
      <c r="B77" s="20" t="s">
        <v>155</v>
      </c>
      <c r="C77" s="36">
        <v>98</v>
      </c>
      <c r="D77" s="104" t="s">
        <v>160</v>
      </c>
      <c r="E77" s="60">
        <f>SUM(F77:J77)</f>
        <v>4983.5370000000003</v>
      </c>
      <c r="F77" s="105">
        <v>3781</v>
      </c>
      <c r="G77" s="105">
        <v>0</v>
      </c>
      <c r="H77" s="105">
        <v>1202.537</v>
      </c>
      <c r="I77" s="105">
        <v>0</v>
      </c>
      <c r="J77" s="105">
        <v>0</v>
      </c>
      <c r="K77" s="120">
        <v>3055.97</v>
      </c>
      <c r="L77" s="15">
        <f>(E77-K77)/E77*100</f>
        <v>38.678693466106509</v>
      </c>
      <c r="M77" s="15">
        <f>H77/E77*100</f>
        <v>24.130191067107557</v>
      </c>
      <c r="N77" s="10">
        <f>SUM(O77:S77)</f>
        <v>4399.6698100000003</v>
      </c>
      <c r="O77" s="10">
        <v>3061.9271600000002</v>
      </c>
      <c r="Q77" s="10">
        <v>634.41705999999999</v>
      </c>
      <c r="S77" s="10">
        <v>703.32559000000003</v>
      </c>
      <c r="T77" s="16">
        <f>(E77-K77)/K77*100</f>
        <v>63.075455583660855</v>
      </c>
      <c r="U77" s="10">
        <f t="shared" ref="U77:U81" si="8">(F77-O77)/O77*100</f>
        <v>23.484322207063858</v>
      </c>
      <c r="V77" s="10">
        <f t="shared" ref="V77:V81" si="9">(H77-Q77)/Q77*100</f>
        <v>89.549915319112017</v>
      </c>
      <c r="W77" s="10">
        <f t="shared" ref="W77:W81" si="10">(J77-S77)/S77*100</f>
        <v>-100</v>
      </c>
    </row>
    <row r="78" spans="1:23" ht="40.5" customHeight="1" x14ac:dyDescent="0.25">
      <c r="A78" s="36">
        <v>71</v>
      </c>
      <c r="B78" s="20" t="s">
        <v>156</v>
      </c>
      <c r="C78" s="36">
        <v>67</v>
      </c>
      <c r="D78" s="104">
        <v>176</v>
      </c>
      <c r="E78" s="60">
        <f>SUM(F78:J78)</f>
        <v>881.8</v>
      </c>
      <c r="F78" s="105">
        <v>734.6</v>
      </c>
      <c r="G78" s="105">
        <v>0</v>
      </c>
      <c r="H78" s="105">
        <v>0</v>
      </c>
      <c r="I78" s="105">
        <v>147.19999999999999</v>
      </c>
      <c r="J78" s="105">
        <v>0</v>
      </c>
      <c r="K78" s="120">
        <v>1675.74</v>
      </c>
      <c r="L78" s="15">
        <f>(E78-K78)/E78*100</f>
        <v>-90.036289408029049</v>
      </c>
      <c r="M78" s="15">
        <f>H78/E78*100</f>
        <v>0</v>
      </c>
      <c r="N78" s="10">
        <f t="shared" ref="N78:N81" si="11">SUM(O78:S78)</f>
        <v>3330.1801600920276</v>
      </c>
      <c r="O78" s="10">
        <v>2940.52207</v>
      </c>
      <c r="Q78" s="10">
        <v>382.19999000000001</v>
      </c>
      <c r="S78" s="10">
        <f>(J78+L78+O78)/Q78</f>
        <v>7.4581000920276601</v>
      </c>
      <c r="T78" s="10">
        <f>(E78-K78)/K78*100</f>
        <v>-47.378471600606304</v>
      </c>
      <c r="U78" s="10">
        <f t="shared" si="8"/>
        <v>-75.018041609189495</v>
      </c>
      <c r="V78" s="10">
        <f t="shared" si="9"/>
        <v>-100</v>
      </c>
      <c r="W78" s="10">
        <f t="shared" si="10"/>
        <v>-100</v>
      </c>
    </row>
    <row r="79" spans="1:23" ht="40.5" customHeight="1" x14ac:dyDescent="0.25">
      <c r="A79" s="54">
        <v>72</v>
      </c>
      <c r="B79" s="20" t="s">
        <v>157</v>
      </c>
      <c r="C79" s="54">
        <v>100</v>
      </c>
      <c r="D79" s="104">
        <v>245</v>
      </c>
      <c r="E79" s="60">
        <f>SUM(F79:J79)</f>
        <v>4609.8</v>
      </c>
      <c r="F79" s="105">
        <v>3521.5</v>
      </c>
      <c r="G79" s="105">
        <v>0</v>
      </c>
      <c r="H79" s="105">
        <v>915.1</v>
      </c>
      <c r="I79" s="105">
        <v>0</v>
      </c>
      <c r="J79" s="105">
        <v>173.2</v>
      </c>
      <c r="K79" s="120">
        <v>2295.4050000000002</v>
      </c>
      <c r="L79" s="15">
        <f>(E79-K79)/E79*100</f>
        <v>50.205974228816864</v>
      </c>
      <c r="M79" s="15">
        <f>H79/E79*100</f>
        <v>19.851186602455638</v>
      </c>
      <c r="N79" s="10">
        <f t="shared" si="11"/>
        <v>3654.5067799999997</v>
      </c>
      <c r="O79" s="10">
        <v>2676.12599</v>
      </c>
      <c r="Q79" s="10">
        <v>364.91469999999998</v>
      </c>
      <c r="S79" s="10">
        <v>613.46609000000001</v>
      </c>
      <c r="T79" s="10">
        <f>(E79-K79)/K79*100</f>
        <v>100.82730498539472</v>
      </c>
      <c r="U79" s="10">
        <f t="shared" si="8"/>
        <v>31.589469746900818</v>
      </c>
      <c r="V79" s="10">
        <f t="shared" si="9"/>
        <v>150.77093359078165</v>
      </c>
      <c r="W79" s="10">
        <f t="shared" si="10"/>
        <v>-71.766980632947451</v>
      </c>
    </row>
    <row r="80" spans="1:23" ht="40.5" customHeight="1" x14ac:dyDescent="0.25">
      <c r="A80" s="54">
        <v>73</v>
      </c>
      <c r="B80" s="20" t="s">
        <v>158</v>
      </c>
      <c r="C80" s="54">
        <v>127</v>
      </c>
      <c r="D80" s="104">
        <v>252</v>
      </c>
      <c r="E80" s="60">
        <f>SUM(F80:J80)</f>
        <v>5203.5</v>
      </c>
      <c r="F80" s="105">
        <v>4165.1000000000004</v>
      </c>
      <c r="G80" s="105">
        <v>0</v>
      </c>
      <c r="H80" s="105">
        <v>705.4</v>
      </c>
      <c r="I80" s="105">
        <v>0</v>
      </c>
      <c r="J80" s="105">
        <v>333</v>
      </c>
      <c r="K80" s="120">
        <v>1716.376</v>
      </c>
      <c r="L80" s="15">
        <f>(E80-K80)/E80*100</f>
        <v>67.014970692802919</v>
      </c>
      <c r="M80" s="15">
        <f>H80/E80*100</f>
        <v>13.556260209474392</v>
      </c>
      <c r="N80" s="10">
        <f t="shared" si="11"/>
        <v>11315.36954</v>
      </c>
      <c r="O80" s="10">
        <v>5570.6</v>
      </c>
      <c r="Q80" s="10">
        <v>3947.0857799999999</v>
      </c>
      <c r="S80" s="10">
        <v>1797.6837599999999</v>
      </c>
      <c r="T80" s="10">
        <f>(E80-K80)/K80*100</f>
        <v>203.16783735032416</v>
      </c>
      <c r="U80" s="10">
        <f t="shared" si="8"/>
        <v>-25.230675331203102</v>
      </c>
      <c r="V80" s="10">
        <f t="shared" si="9"/>
        <v>-82.128587030606653</v>
      </c>
      <c r="W80" s="10">
        <f t="shared" si="10"/>
        <v>-81.476163527226831</v>
      </c>
    </row>
    <row r="81" spans="1:23" ht="40.5" customHeight="1" x14ac:dyDescent="0.25">
      <c r="A81" s="56">
        <v>74</v>
      </c>
      <c r="B81" s="20" t="s">
        <v>159</v>
      </c>
      <c r="C81" s="56">
        <v>157</v>
      </c>
      <c r="D81" s="104">
        <v>309</v>
      </c>
      <c r="E81" s="60">
        <f>SUM(F81:J81)</f>
        <v>6896.9000000000005</v>
      </c>
      <c r="F81" s="105">
        <v>6585.8</v>
      </c>
      <c r="G81" s="105">
        <v>0</v>
      </c>
      <c r="H81" s="105">
        <v>0</v>
      </c>
      <c r="I81" s="105">
        <v>311.10000000000002</v>
      </c>
      <c r="J81" s="105">
        <v>0</v>
      </c>
      <c r="K81" s="120">
        <v>3709.8620000000001</v>
      </c>
      <c r="L81" s="15">
        <f>(E81-K81)/E81*100</f>
        <v>46.209717409270837</v>
      </c>
      <c r="M81" s="15">
        <f>H81/E81*100</f>
        <v>0</v>
      </c>
      <c r="N81" s="10">
        <f t="shared" si="11"/>
        <v>6139.7788599999994</v>
      </c>
      <c r="O81" s="10">
        <v>4249.8981599999997</v>
      </c>
      <c r="Q81" s="10">
        <v>728.15671999999995</v>
      </c>
      <c r="S81" s="10">
        <v>1161.72398</v>
      </c>
      <c r="T81" s="10">
        <f>(E81-K81)/K81*100</f>
        <v>85.907184687732325</v>
      </c>
      <c r="U81" s="10">
        <f t="shared" si="8"/>
        <v>54.963713295191063</v>
      </c>
      <c r="V81" s="10">
        <f t="shared" si="9"/>
        <v>-100</v>
      </c>
      <c r="W81" s="10">
        <f t="shared" si="10"/>
        <v>-100</v>
      </c>
    </row>
    <row r="82" spans="1:23" s="21" customFormat="1" x14ac:dyDescent="0.25">
      <c r="A82" s="56">
        <v>75</v>
      </c>
      <c r="B82" s="22" t="s">
        <v>163</v>
      </c>
      <c r="C82" s="56">
        <v>98</v>
      </c>
      <c r="D82" s="56">
        <v>117</v>
      </c>
      <c r="E82" s="60">
        <f>SUM(F82:J82)</f>
        <v>1789.2262500000002</v>
      </c>
      <c r="F82" s="105">
        <v>920</v>
      </c>
      <c r="G82" s="105">
        <v>0</v>
      </c>
      <c r="H82" s="105">
        <v>578.72625000000005</v>
      </c>
      <c r="I82" s="60">
        <v>170</v>
      </c>
      <c r="J82" s="60">
        <v>120.5</v>
      </c>
      <c r="K82" s="60">
        <v>775</v>
      </c>
      <c r="L82" s="32">
        <f>(E82-K82)/E82*100</f>
        <v>56.68518724225067</v>
      </c>
      <c r="M82" s="32">
        <f>H82/E82*100</f>
        <v>32.345056976444425</v>
      </c>
      <c r="N82" s="31">
        <f>SUM(O82:S82)</f>
        <v>4399.6698100000003</v>
      </c>
      <c r="O82" s="31">
        <v>3061.9271600000002</v>
      </c>
      <c r="P82" s="31"/>
      <c r="Q82" s="31">
        <v>634.41705999999999</v>
      </c>
      <c r="R82" s="31"/>
      <c r="S82" s="31">
        <v>703.32559000000003</v>
      </c>
      <c r="T82" s="33">
        <f>(E82-K82)/K82*100</f>
        <v>130.86790322580649</v>
      </c>
      <c r="U82" s="31">
        <f t="shared" ref="U82" si="12">(F82-O82)/O82*100</f>
        <v>-69.953563493652808</v>
      </c>
      <c r="V82" s="31">
        <f t="shared" ref="V82" si="13">(H82-Q82)/Q82*100</f>
        <v>-8.7782648846170588</v>
      </c>
      <c r="W82" s="31">
        <f t="shared" ref="W82" si="14">(J82-S82)/S82*100</f>
        <v>-82.867109954011482</v>
      </c>
    </row>
    <row r="83" spans="1:23" s="21" customFormat="1" ht="30" x14ac:dyDescent="0.25">
      <c r="A83" s="56">
        <v>76</v>
      </c>
      <c r="B83" s="58" t="s">
        <v>169</v>
      </c>
      <c r="C83" s="56"/>
      <c r="D83" s="56" t="s">
        <v>170</v>
      </c>
      <c r="E83" s="60">
        <f>SUM(F83:J83)</f>
        <v>181773.15</v>
      </c>
      <c r="F83" s="110">
        <v>14676.75</v>
      </c>
      <c r="G83" s="110">
        <v>0</v>
      </c>
      <c r="H83" s="110">
        <v>13551.8</v>
      </c>
      <c r="I83" s="113">
        <v>150241.5</v>
      </c>
      <c r="J83" s="26">
        <v>3303.1</v>
      </c>
      <c r="K83" s="114">
        <v>98263.1</v>
      </c>
      <c r="L83" s="32"/>
      <c r="M83" s="32"/>
      <c r="N83" s="31"/>
      <c r="O83" s="31"/>
      <c r="P83" s="31"/>
      <c r="Q83" s="31"/>
      <c r="R83" s="31"/>
      <c r="S83" s="31"/>
      <c r="T83" s="33"/>
      <c r="U83" s="31"/>
      <c r="V83" s="31"/>
      <c r="W83" s="31"/>
    </row>
    <row r="84" spans="1:23" s="21" customFormat="1" ht="34.5" customHeight="1" x14ac:dyDescent="0.25">
      <c r="A84" s="56">
        <v>77</v>
      </c>
      <c r="B84" s="59" t="s">
        <v>171</v>
      </c>
      <c r="C84" s="56"/>
      <c r="D84" s="17" t="s">
        <v>175</v>
      </c>
      <c r="E84" s="60">
        <f>SUM(F84:J84)</f>
        <v>30432</v>
      </c>
      <c r="F84" s="110">
        <v>3778</v>
      </c>
      <c r="G84" s="110">
        <v>0</v>
      </c>
      <c r="H84" s="110">
        <v>288</v>
      </c>
      <c r="I84" s="118">
        <v>25890.400000000001</v>
      </c>
      <c r="J84" s="26">
        <v>475.6</v>
      </c>
      <c r="K84" s="114">
        <v>20262.400000000001</v>
      </c>
      <c r="L84" s="32"/>
      <c r="M84" s="32"/>
      <c r="N84" s="31"/>
      <c r="O84" s="31"/>
      <c r="P84" s="31"/>
      <c r="Q84" s="31"/>
      <c r="R84" s="31"/>
      <c r="S84" s="31"/>
      <c r="T84" s="33"/>
      <c r="U84" s="31"/>
      <c r="V84" s="31"/>
      <c r="W84" s="31"/>
    </row>
    <row r="85" spans="1:23" s="21" customFormat="1" ht="30" x14ac:dyDescent="0.25">
      <c r="A85" s="56">
        <v>78</v>
      </c>
      <c r="B85" s="59" t="s">
        <v>173</v>
      </c>
      <c r="C85" s="56"/>
      <c r="D85" s="56" t="s">
        <v>174</v>
      </c>
      <c r="E85" s="60">
        <f>SUM(F85:J85)</f>
        <v>80356.63</v>
      </c>
      <c r="F85" s="107">
        <v>4721</v>
      </c>
      <c r="G85" s="110">
        <v>0</v>
      </c>
      <c r="H85" s="107">
        <v>1213.19</v>
      </c>
      <c r="I85" s="67">
        <v>72896</v>
      </c>
      <c r="J85" s="107">
        <v>1526.44</v>
      </c>
      <c r="K85" s="114">
        <v>58587.28</v>
      </c>
      <c r="L85" s="32"/>
      <c r="M85" s="32"/>
      <c r="N85" s="31"/>
      <c r="O85" s="31"/>
      <c r="P85" s="31"/>
      <c r="Q85" s="31"/>
      <c r="R85" s="31"/>
      <c r="S85" s="31"/>
      <c r="T85" s="33"/>
      <c r="U85" s="31"/>
      <c r="V85" s="31"/>
      <c r="W85" s="31"/>
    </row>
    <row r="86" spans="1:23" s="21" customFormat="1" ht="30" customHeight="1" x14ac:dyDescent="0.25">
      <c r="A86" s="56">
        <v>79</v>
      </c>
      <c r="B86" s="22" t="s">
        <v>165</v>
      </c>
      <c r="C86" s="56"/>
      <c r="D86" s="56" t="s">
        <v>166</v>
      </c>
      <c r="E86" s="60">
        <f>SUM(F86:J86)</f>
        <v>281235.19999999995</v>
      </c>
      <c r="F86" s="110">
        <v>21915.5</v>
      </c>
      <c r="G86" s="110">
        <v>0</v>
      </c>
      <c r="H86" s="110">
        <v>23640.7</v>
      </c>
      <c r="I86" s="114">
        <v>234334.4</v>
      </c>
      <c r="J86" s="26">
        <v>1344.6</v>
      </c>
      <c r="K86" s="114">
        <v>176112.7</v>
      </c>
      <c r="L86" s="32"/>
      <c r="M86" s="32"/>
      <c r="N86" s="31"/>
      <c r="O86" s="31"/>
      <c r="P86" s="31"/>
      <c r="Q86" s="31"/>
      <c r="R86" s="31"/>
      <c r="S86" s="31"/>
      <c r="T86" s="33"/>
      <c r="U86" s="31"/>
      <c r="V86" s="31"/>
      <c r="W86" s="31"/>
    </row>
    <row r="87" spans="1:23" s="21" customFormat="1" x14ac:dyDescent="0.25">
      <c r="A87" s="23"/>
      <c r="B87" s="24" t="s">
        <v>164</v>
      </c>
      <c r="C87" s="30">
        <f>SUM(C82:C82)</f>
        <v>98</v>
      </c>
      <c r="D87" s="30"/>
      <c r="E87" s="116">
        <f>SUM(E8:E86)</f>
        <v>1739376.6732599994</v>
      </c>
      <c r="F87" s="117">
        <f>SUM(F8:F86)</f>
        <v>686714.27428999986</v>
      </c>
      <c r="G87" s="117">
        <f>SUM(G8:G86)</f>
        <v>82000</v>
      </c>
      <c r="H87" s="117">
        <f t="shared" ref="H87:K87" si="15">SUM(H8:H86)</f>
        <v>451426.89444</v>
      </c>
      <c r="I87" s="116">
        <f t="shared" si="15"/>
        <v>484954.10123999999</v>
      </c>
      <c r="J87" s="116">
        <f t="shared" si="15"/>
        <v>34281.403290000009</v>
      </c>
      <c r="K87" s="116">
        <f t="shared" si="15"/>
        <v>954630.3153700002</v>
      </c>
      <c r="L87" s="34"/>
      <c r="M87" s="34"/>
      <c r="N87" s="31">
        <f t="shared" ref="N87:S87" si="16">SUM(N82:N82)</f>
        <v>4399.6698100000003</v>
      </c>
      <c r="O87" s="35">
        <f t="shared" si="16"/>
        <v>3061.9271600000002</v>
      </c>
      <c r="P87" s="31">
        <f t="shared" si="16"/>
        <v>0</v>
      </c>
      <c r="Q87" s="31">
        <f t="shared" si="16"/>
        <v>634.41705999999999</v>
      </c>
      <c r="R87" s="31">
        <f t="shared" si="16"/>
        <v>0</v>
      </c>
      <c r="S87" s="31">
        <f t="shared" si="16"/>
        <v>703.32559000000003</v>
      </c>
      <c r="T87" s="31"/>
      <c r="U87" s="31"/>
      <c r="V87" s="31"/>
      <c r="W87" s="31"/>
    </row>
    <row r="88" spans="1:23" x14ac:dyDescent="0.25">
      <c r="A88" s="10"/>
      <c r="B88" s="10"/>
      <c r="C88" s="10"/>
      <c r="D88" s="10"/>
      <c r="E88" s="10"/>
      <c r="I88" s="10"/>
      <c r="J88" s="10"/>
      <c r="K88" s="10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F89" s="119"/>
      <c r="G89" s="119"/>
      <c r="H89" s="119"/>
      <c r="I89" s="119"/>
      <c r="J89" s="119"/>
      <c r="K89" s="119"/>
      <c r="U89" s="1"/>
      <c r="V89" s="1"/>
      <c r="W89" s="1"/>
    </row>
    <row r="90" spans="1:23" x14ac:dyDescent="0.25">
      <c r="D90" s="10"/>
      <c r="E90" s="10"/>
      <c r="F90" s="10"/>
      <c r="G90" s="10"/>
      <c r="H90" s="1"/>
      <c r="K90" s="10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F91" s="1"/>
      <c r="G91" s="1"/>
      <c r="H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D92" s="10"/>
      <c r="E92" s="10"/>
      <c r="F92" s="10"/>
      <c r="G92" s="10"/>
      <c r="K92" s="10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</sheetData>
  <autoFilter ref="A4:K76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K4:K7"/>
    <mergeCell ref="F5:J6"/>
    <mergeCell ref="D2:H2"/>
    <mergeCell ref="A4:A7"/>
    <mergeCell ref="B4:B7"/>
    <mergeCell ref="D4:D7"/>
    <mergeCell ref="E5:E7"/>
    <mergeCell ref="C4:C7"/>
    <mergeCell ref="E4:J4"/>
  </mergeCells>
  <pageMargins left="0.23622047244094491" right="0.23622047244094491" top="0.74803149606299213" bottom="0.74803149606299213" header="0.31496062992125984" footer="0.31496062992125984"/>
  <pageSetup paperSize="9" scale="62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87"/>
  <sheetViews>
    <sheetView zoomScale="75" zoomScaleNormal="75" workbookViewId="0">
      <pane xSplit="1" ySplit="6" topLeftCell="B7" activePane="bottomRight" state="frozen"/>
      <selection activeCell="B84" sqref="B84"/>
      <selection pane="topRight" activeCell="B84" sqref="B84"/>
      <selection pane="bottomLeft" activeCell="B84" sqref="B84"/>
      <selection pane="bottomRight" activeCell="B77" sqref="B77"/>
    </sheetView>
  </sheetViews>
  <sheetFormatPr defaultRowHeight="15" x14ac:dyDescent="0.25"/>
  <cols>
    <col min="1" max="1" width="5.7109375" style="3" customWidth="1"/>
    <col min="2" max="2" width="43.7109375" style="3" customWidth="1"/>
    <col min="3" max="3" width="14.42578125" style="3" customWidth="1"/>
    <col min="4" max="4" width="17" style="3" customWidth="1"/>
    <col min="5" max="5" width="16.5703125" style="3" customWidth="1"/>
    <col min="6" max="6" width="17.7109375" style="3" customWidth="1"/>
    <col min="7" max="7" width="14.85546875" style="3" customWidth="1"/>
    <col min="8" max="8" width="14.140625" style="3" customWidth="1"/>
    <col min="9" max="9" width="16.5703125" style="3" customWidth="1"/>
    <col min="10" max="10" width="16" style="3" customWidth="1"/>
    <col min="11" max="11" width="13.5703125" style="3" customWidth="1"/>
    <col min="12" max="12" width="17.7109375" style="3" bestFit="1" customWidth="1"/>
    <col min="13" max="13" width="12.5703125" style="3" customWidth="1"/>
    <col min="14" max="14" width="13.7109375" style="3" bestFit="1" customWidth="1"/>
    <col min="15" max="15" width="14.85546875" style="3" bestFit="1" customWidth="1"/>
    <col min="16" max="16" width="13.28515625" style="3" customWidth="1"/>
    <col min="17" max="16384" width="9.140625" style="3"/>
  </cols>
  <sheetData>
    <row r="1" spans="1:15" ht="15.75" x14ac:dyDescent="0.25">
      <c r="O1" s="8" t="s">
        <v>145</v>
      </c>
    </row>
    <row r="2" spans="1:15" ht="39" customHeight="1" x14ac:dyDescent="0.25">
      <c r="D2" s="134" t="s">
        <v>150</v>
      </c>
      <c r="E2" s="134"/>
      <c r="F2" s="134"/>
      <c r="G2" s="134"/>
      <c r="H2" s="134"/>
      <c r="I2" s="134"/>
      <c r="J2" s="134"/>
    </row>
    <row r="5" spans="1:15" s="2" customFormat="1" x14ac:dyDescent="0.25">
      <c r="A5" s="121" t="s">
        <v>83</v>
      </c>
      <c r="B5" s="121" t="s">
        <v>91</v>
      </c>
      <c r="C5" s="121" t="s">
        <v>92</v>
      </c>
      <c r="D5" s="121" t="s">
        <v>93</v>
      </c>
      <c r="E5" s="121" t="s">
        <v>94</v>
      </c>
      <c r="F5" s="121" t="s">
        <v>139</v>
      </c>
      <c r="G5" s="121" t="s">
        <v>95</v>
      </c>
      <c r="H5" s="121"/>
      <c r="I5" s="121"/>
      <c r="J5" s="121"/>
      <c r="K5" s="121" t="s">
        <v>96</v>
      </c>
      <c r="L5" s="121" t="s">
        <v>97</v>
      </c>
      <c r="M5" s="121"/>
      <c r="N5" s="121"/>
      <c r="O5" s="121"/>
    </row>
    <row r="6" spans="1:15" s="2" customFormat="1" ht="83.25" customHeight="1" x14ac:dyDescent="0.25">
      <c r="A6" s="121"/>
      <c r="B6" s="121"/>
      <c r="C6" s="121"/>
      <c r="D6" s="121"/>
      <c r="E6" s="121"/>
      <c r="F6" s="121"/>
      <c r="G6" s="55" t="s">
        <v>98</v>
      </c>
      <c r="H6" s="55" t="s">
        <v>99</v>
      </c>
      <c r="I6" s="55" t="s">
        <v>100</v>
      </c>
      <c r="J6" s="55" t="s">
        <v>0</v>
      </c>
      <c r="K6" s="121"/>
      <c r="L6" s="55" t="s">
        <v>101</v>
      </c>
      <c r="M6" s="55" t="s">
        <v>99</v>
      </c>
      <c r="N6" s="55" t="s">
        <v>100</v>
      </c>
      <c r="O6" s="55" t="s">
        <v>0</v>
      </c>
    </row>
    <row r="7" spans="1:15" ht="25.5" x14ac:dyDescent="0.25">
      <c r="A7" s="55">
        <v>1</v>
      </c>
      <c r="B7" s="7" t="s">
        <v>15</v>
      </c>
      <c r="C7" s="55">
        <v>24.5</v>
      </c>
      <c r="D7" s="53">
        <v>13336.8</v>
      </c>
      <c r="E7" s="53">
        <v>26308.3</v>
      </c>
      <c r="F7" s="53">
        <f t="shared" ref="F7:F12" si="0">E7/D7</f>
        <v>1.9726096214984106</v>
      </c>
      <c r="G7" s="53">
        <f>1061.94904+1453.09104</f>
        <v>2515.0400799999998</v>
      </c>
      <c r="H7" s="53">
        <v>0</v>
      </c>
      <c r="I7" s="53">
        <f>891.62247+529.95762</f>
        <v>1421.5800899999999</v>
      </c>
      <c r="J7" s="53">
        <f>SUM(G7:I7)</f>
        <v>3936.6201699999997</v>
      </c>
      <c r="K7" s="53">
        <f>J7/'Форма 1'!R8</f>
        <v>0.13128437602000845</v>
      </c>
      <c r="L7" s="53">
        <f>326.65357+427.94651</f>
        <v>754.60007999999993</v>
      </c>
      <c r="M7" s="53">
        <v>0</v>
      </c>
      <c r="N7" s="53">
        <f>269.50783+159.99139</f>
        <v>429.49922000000004</v>
      </c>
      <c r="O7" s="53">
        <f>SUM(L7:N7)</f>
        <v>1184.0992999999999</v>
      </c>
    </row>
    <row r="8" spans="1:15" ht="25.5" x14ac:dyDescent="0.25">
      <c r="A8" s="55">
        <v>2</v>
      </c>
      <c r="B8" s="7" t="s">
        <v>16</v>
      </c>
      <c r="C8" s="55">
        <v>24.3</v>
      </c>
      <c r="D8" s="53">
        <v>11216.1</v>
      </c>
      <c r="E8" s="53">
        <v>22891.7</v>
      </c>
      <c r="F8" s="53">
        <f t="shared" si="0"/>
        <v>2.0409678943661342</v>
      </c>
      <c r="G8" s="53">
        <f>900.06031+1400.74883</f>
        <v>2300.8091399999998</v>
      </c>
      <c r="H8" s="53">
        <v>0</v>
      </c>
      <c r="I8" s="53">
        <f>628.31861+357.66113</f>
        <v>985.97973999999999</v>
      </c>
      <c r="J8" s="53">
        <f>SUM(G8:I8)</f>
        <v>3286.7888800000001</v>
      </c>
      <c r="K8" s="53">
        <f>J8/'Форма 1'!R9</f>
        <v>0.21330067090322724</v>
      </c>
      <c r="L8" s="53">
        <f>286.34481+403.55825</f>
        <v>689.90305999999998</v>
      </c>
      <c r="M8" s="53">
        <v>0</v>
      </c>
      <c r="N8" s="53">
        <f>189.81397+108.01369</f>
        <v>297.82766000000004</v>
      </c>
      <c r="O8" s="53">
        <f t="shared" ref="O8:O71" si="1">SUM(L8:N8)</f>
        <v>987.73072000000002</v>
      </c>
    </row>
    <row r="9" spans="1:15" ht="25.5" x14ac:dyDescent="0.25">
      <c r="A9" s="55">
        <v>3</v>
      </c>
      <c r="B9" s="7" t="s">
        <v>17</v>
      </c>
      <c r="C9" s="55">
        <v>20.5</v>
      </c>
      <c r="D9" s="53">
        <v>12841.1</v>
      </c>
      <c r="E9" s="53">
        <v>26033.4</v>
      </c>
      <c r="F9" s="53">
        <f t="shared" si="0"/>
        <v>2.0273496818808359</v>
      </c>
      <c r="G9" s="53">
        <f>243.94722+1538.35933</f>
        <v>1782.30655</v>
      </c>
      <c r="H9" s="53">
        <v>0</v>
      </c>
      <c r="I9" s="53">
        <f>879.36985+510.54487</f>
        <v>1389.91472</v>
      </c>
      <c r="J9" s="53">
        <f t="shared" ref="J9:J20" si="2">SUM(G9:I9)</f>
        <v>3172.22127</v>
      </c>
      <c r="K9" s="53">
        <f>J9/'Форма 1'!R10</f>
        <v>9.8235892281933065E-2</v>
      </c>
      <c r="L9" s="53">
        <f>79.18925+455.48613</f>
        <v>534.67538000000002</v>
      </c>
      <c r="M9" s="53">
        <v>0</v>
      </c>
      <c r="N9" s="53">
        <f>265.34114+154.18239</f>
        <v>419.52352999999999</v>
      </c>
      <c r="O9" s="53">
        <f t="shared" si="1"/>
        <v>954.19891000000007</v>
      </c>
    </row>
    <row r="10" spans="1:15" ht="25.5" x14ac:dyDescent="0.25">
      <c r="A10" s="55">
        <v>4</v>
      </c>
      <c r="B10" s="7" t="s">
        <v>18</v>
      </c>
      <c r="C10" s="55">
        <v>28.6</v>
      </c>
      <c r="D10" s="53">
        <v>15976.7</v>
      </c>
      <c r="E10" s="53">
        <v>25983.4</v>
      </c>
      <c r="F10" s="53">
        <f t="shared" si="0"/>
        <v>1.6263308442920001</v>
      </c>
      <c r="G10" s="53">
        <v>3821.58014</v>
      </c>
      <c r="H10" s="53">
        <v>189.16548</v>
      </c>
      <c r="I10" s="53">
        <v>1679.8460399999999</v>
      </c>
      <c r="J10" s="53">
        <f t="shared" si="2"/>
        <v>5690.59166</v>
      </c>
      <c r="K10" s="53">
        <f>J10/'Форма 1'!R11</f>
        <v>0.35974704585769446</v>
      </c>
      <c r="L10" s="53">
        <f>1156.34813</f>
        <v>1156.3481300000001</v>
      </c>
      <c r="M10" s="53">
        <v>57.127949999999998</v>
      </c>
      <c r="N10" s="53">
        <v>507.32396</v>
      </c>
      <c r="O10" s="53">
        <f t="shared" si="1"/>
        <v>1720.8000400000001</v>
      </c>
    </row>
    <row r="11" spans="1:15" ht="25.5" x14ac:dyDescent="0.25">
      <c r="A11" s="55">
        <v>5</v>
      </c>
      <c r="B11" s="7" t="s">
        <v>19</v>
      </c>
      <c r="C11" s="55">
        <v>30.8</v>
      </c>
      <c r="D11" s="53">
        <v>16947.3</v>
      </c>
      <c r="E11" s="53">
        <v>33133.4</v>
      </c>
      <c r="F11" s="53">
        <f t="shared" si="0"/>
        <v>1.9550842907129751</v>
      </c>
      <c r="G11" s="53">
        <v>3899.8749600000001</v>
      </c>
      <c r="H11" s="53">
        <v>0</v>
      </c>
      <c r="I11" s="53">
        <v>2383.6864999999998</v>
      </c>
      <c r="J11" s="53">
        <f t="shared" si="2"/>
        <v>6283.5614599999999</v>
      </c>
      <c r="K11" s="53">
        <f>J11/'Форма 1'!R12</f>
        <v>9.1242917742738336E-2</v>
      </c>
      <c r="L11" s="53">
        <v>1171.6525200000001</v>
      </c>
      <c r="M11" s="53">
        <v>0</v>
      </c>
      <c r="N11" s="53">
        <v>719.99347999999998</v>
      </c>
      <c r="O11" s="53">
        <f t="shared" si="1"/>
        <v>1891.6460000000002</v>
      </c>
    </row>
    <row r="12" spans="1:15" ht="25.5" x14ac:dyDescent="0.25">
      <c r="A12" s="55">
        <v>6</v>
      </c>
      <c r="B12" s="7" t="s">
        <v>20</v>
      </c>
      <c r="C12" s="55">
        <v>38.1</v>
      </c>
      <c r="D12" s="53">
        <v>15892.4</v>
      </c>
      <c r="E12" s="53">
        <v>33800</v>
      </c>
      <c r="F12" s="53">
        <f t="shared" si="0"/>
        <v>2.1268027484835521</v>
      </c>
      <c r="G12" s="53">
        <v>4537.3649999999998</v>
      </c>
      <c r="H12" s="53">
        <v>0</v>
      </c>
      <c r="I12" s="53">
        <v>2764.7705900000001</v>
      </c>
      <c r="J12" s="53">
        <f t="shared" si="2"/>
        <v>7302.1355899999999</v>
      </c>
      <c r="K12" s="53">
        <f>J12/'Форма 1'!R13</f>
        <v>0.22481917894745748</v>
      </c>
      <c r="L12" s="53">
        <v>1359.4436499999999</v>
      </c>
      <c r="M12" s="53">
        <v>0</v>
      </c>
      <c r="N12" s="53">
        <v>834.88764000000003</v>
      </c>
      <c r="O12" s="53">
        <f>SUM(L12:N12)</f>
        <v>2194.3312900000001</v>
      </c>
    </row>
    <row r="13" spans="1:15" x14ac:dyDescent="0.25">
      <c r="A13" s="55">
        <v>7</v>
      </c>
      <c r="B13" s="7" t="s">
        <v>21</v>
      </c>
      <c r="C13" s="55">
        <v>52.7</v>
      </c>
      <c r="D13" s="53">
        <v>22817.1</v>
      </c>
      <c r="E13" s="53">
        <v>47266.7</v>
      </c>
      <c r="F13" s="53">
        <f t="shared" ref="F13:F73" si="3">E13/D13</f>
        <v>2.071547216780397</v>
      </c>
      <c r="G13" s="53">
        <v>13248.17906</v>
      </c>
      <c r="H13" s="53">
        <v>0</v>
      </c>
      <c r="I13" s="53">
        <v>973.67702999999995</v>
      </c>
      <c r="J13" s="53">
        <f t="shared" si="2"/>
        <v>14221.856090000001</v>
      </c>
      <c r="K13" s="53">
        <f>J13/'Форма 1'!R14</f>
        <v>0.1739892657827917</v>
      </c>
      <c r="L13" s="53">
        <v>3840.7164899999998</v>
      </c>
      <c r="M13" s="53">
        <v>0</v>
      </c>
      <c r="N13" s="53">
        <v>290.29217</v>
      </c>
      <c r="O13" s="53">
        <f t="shared" si="1"/>
        <v>4131.0086599999995</v>
      </c>
    </row>
    <row r="14" spans="1:15" x14ac:dyDescent="0.25">
      <c r="A14" s="55">
        <v>8</v>
      </c>
      <c r="B14" s="7" t="s">
        <v>22</v>
      </c>
      <c r="C14" s="55">
        <v>52.1</v>
      </c>
      <c r="D14" s="53">
        <v>17373.7</v>
      </c>
      <c r="E14" s="53">
        <v>41050</v>
      </c>
      <c r="F14" s="53">
        <f t="shared" si="3"/>
        <v>2.3627667106028074</v>
      </c>
      <c r="G14" s="53">
        <f>3885.17928+5937.63108</f>
        <v>9822.8103599999995</v>
      </c>
      <c r="H14" s="53">
        <v>0</v>
      </c>
      <c r="I14" s="53">
        <f>332.86117+708.82069</f>
        <v>1041.6818600000001</v>
      </c>
      <c r="J14" s="53">
        <f t="shared" si="2"/>
        <v>10864.49222</v>
      </c>
      <c r="K14" s="53">
        <f>J14/'Форма 1'!R15</f>
        <v>0.44557684818917775</v>
      </c>
      <c r="L14" s="53">
        <f>1194.61816+1751.7113</f>
        <v>2946.3294599999999</v>
      </c>
      <c r="M14" s="53">
        <v>0</v>
      </c>
      <c r="N14" s="53">
        <f>100.405221+214.51241</f>
        <v>314.91763099999997</v>
      </c>
      <c r="O14" s="53">
        <f t="shared" si="1"/>
        <v>3261.2470909999997</v>
      </c>
    </row>
    <row r="15" spans="1:15" x14ac:dyDescent="0.25">
      <c r="A15" s="55">
        <v>9</v>
      </c>
      <c r="B15" s="7" t="s">
        <v>23</v>
      </c>
      <c r="C15" s="55">
        <v>39.5</v>
      </c>
      <c r="D15" s="53">
        <v>22142.400000000001</v>
      </c>
      <c r="E15" s="53">
        <v>62691.7</v>
      </c>
      <c r="F15" s="53">
        <f t="shared" si="3"/>
        <v>2.8312965170893847</v>
      </c>
      <c r="G15" s="53">
        <v>9588.2739700000002</v>
      </c>
      <c r="H15" s="53">
        <v>0</v>
      </c>
      <c r="I15" s="53">
        <v>964.20898999999997</v>
      </c>
      <c r="J15" s="53">
        <f t="shared" si="2"/>
        <v>10552.482959999999</v>
      </c>
      <c r="K15" s="53">
        <f>J15/'Форма 1'!R16</f>
        <v>0.42585794848915143</v>
      </c>
      <c r="L15" s="53">
        <v>2842.8618099999999</v>
      </c>
      <c r="M15" s="53">
        <v>0</v>
      </c>
      <c r="N15" s="53">
        <v>290.67955000000001</v>
      </c>
      <c r="O15" s="53">
        <f t="shared" si="1"/>
        <v>3133.5413599999997</v>
      </c>
    </row>
    <row r="16" spans="1:15" x14ac:dyDescent="0.25">
      <c r="A16" s="55">
        <v>10</v>
      </c>
      <c r="B16" s="7" t="s">
        <v>24</v>
      </c>
      <c r="C16" s="55">
        <v>36.9</v>
      </c>
      <c r="D16" s="53">
        <v>24889.8</v>
      </c>
      <c r="E16" s="53">
        <v>56141.7</v>
      </c>
      <c r="F16" s="53">
        <f t="shared" si="3"/>
        <v>2.2556107321071281</v>
      </c>
      <c r="G16" s="53">
        <f>3496.09962+6168.34362</f>
        <v>9664.4432400000005</v>
      </c>
      <c r="H16" s="53">
        <v>0</v>
      </c>
      <c r="I16" s="53">
        <f>419.25117+770.91556</f>
        <v>1190.1667299999999</v>
      </c>
      <c r="J16" s="53">
        <f t="shared" si="2"/>
        <v>10854.609970000001</v>
      </c>
      <c r="K16" s="53">
        <f>J16/'Форма 1'!R17</f>
        <v>0.48197384272554622</v>
      </c>
      <c r="L16" s="53">
        <f>1045.30891+1846.55374</f>
        <v>2891.86265</v>
      </c>
      <c r="M16" s="53">
        <v>0</v>
      </c>
      <c r="N16" s="53">
        <f>126.59726+232.67853</f>
        <v>359.27579000000003</v>
      </c>
      <c r="O16" s="53">
        <f t="shared" si="1"/>
        <v>3251.1384400000002</v>
      </c>
    </row>
    <row r="17" spans="1:15" x14ac:dyDescent="0.25">
      <c r="A17" s="55">
        <v>11</v>
      </c>
      <c r="B17" s="7" t="s">
        <v>25</v>
      </c>
      <c r="C17" s="55">
        <v>35.4</v>
      </c>
      <c r="D17" s="53">
        <v>26623.200000000001</v>
      </c>
      <c r="E17" s="53">
        <v>49400</v>
      </c>
      <c r="F17" s="53">
        <f t="shared" si="3"/>
        <v>1.8555245049430571</v>
      </c>
      <c r="G17" s="53">
        <v>9714.2009999999991</v>
      </c>
      <c r="H17" s="53">
        <v>0</v>
      </c>
      <c r="I17" s="53">
        <v>1074.99163</v>
      </c>
      <c r="J17" s="53">
        <f t="shared" si="2"/>
        <v>10789.19263</v>
      </c>
      <c r="K17" s="53">
        <f>J17/'Форма 1'!R18</f>
        <v>0.23166395212458166</v>
      </c>
      <c r="L17" s="53">
        <v>2914.9749400000001</v>
      </c>
      <c r="M17" s="53">
        <v>0</v>
      </c>
      <c r="N17" s="53">
        <v>324.34357</v>
      </c>
      <c r="O17" s="53">
        <f t="shared" si="1"/>
        <v>3239.3185100000001</v>
      </c>
    </row>
    <row r="18" spans="1:15" x14ac:dyDescent="0.25">
      <c r="A18" s="55">
        <v>12</v>
      </c>
      <c r="B18" s="7" t="s">
        <v>26</v>
      </c>
      <c r="C18" s="55">
        <v>83.5</v>
      </c>
      <c r="D18" s="53">
        <v>18927.900000000001</v>
      </c>
      <c r="E18" s="53">
        <v>36725</v>
      </c>
      <c r="F18" s="53">
        <f t="shared" si="3"/>
        <v>1.940257503473708</v>
      </c>
      <c r="G18" s="53">
        <v>17653.13048</v>
      </c>
      <c r="H18" s="53">
        <v>0</v>
      </c>
      <c r="I18" s="53">
        <v>1470.97048</v>
      </c>
      <c r="J18" s="53">
        <f t="shared" si="2"/>
        <v>19124.10096</v>
      </c>
      <c r="K18" s="53">
        <f>J18/'Форма 1'!R19</f>
        <v>0.58983600607829267</v>
      </c>
      <c r="L18" s="53">
        <v>5287.09022</v>
      </c>
      <c r="M18" s="53">
        <v>0</v>
      </c>
      <c r="N18" s="53">
        <v>443.13905</v>
      </c>
      <c r="O18" s="53">
        <f t="shared" si="1"/>
        <v>5730.2292699999998</v>
      </c>
    </row>
    <row r="19" spans="1:15" x14ac:dyDescent="0.25">
      <c r="A19" s="55">
        <v>13</v>
      </c>
      <c r="B19" s="7" t="s">
        <v>27</v>
      </c>
      <c r="C19" s="55">
        <v>78.400000000000006</v>
      </c>
      <c r="D19" s="53">
        <v>17651.599999999999</v>
      </c>
      <c r="E19" s="53">
        <v>51341.7</v>
      </c>
      <c r="F19" s="53">
        <f t="shared" si="3"/>
        <v>2.9086145165310793</v>
      </c>
      <c r="G19" s="53">
        <f>5097.28001+10205.76596</f>
        <v>15303.045970000001</v>
      </c>
      <c r="H19" s="53">
        <v>0</v>
      </c>
      <c r="I19" s="53">
        <f>385.71239+976.69144</f>
        <v>1362.40383</v>
      </c>
      <c r="J19" s="53">
        <f t="shared" si="2"/>
        <v>16665.449800000002</v>
      </c>
      <c r="K19" s="53">
        <f>J19/'Форма 1'!R20</f>
        <v>0.14678486577066796</v>
      </c>
      <c r="L19" s="53">
        <f>1621.36703+2974.73224</f>
        <v>4596.0992699999997</v>
      </c>
      <c r="M19" s="53">
        <v>0</v>
      </c>
      <c r="N19" s="53">
        <f>116.35143+294.51044</f>
        <v>410.86187000000001</v>
      </c>
      <c r="O19" s="53">
        <f t="shared" si="1"/>
        <v>5006.9611399999994</v>
      </c>
    </row>
    <row r="20" spans="1:15" ht="25.5" x14ac:dyDescent="0.25">
      <c r="A20" s="55">
        <v>14</v>
      </c>
      <c r="B20" s="7" t="s">
        <v>28</v>
      </c>
      <c r="C20" s="55">
        <v>35</v>
      </c>
      <c r="D20" s="53">
        <v>15863.6</v>
      </c>
      <c r="E20" s="53">
        <v>34391.699999999997</v>
      </c>
      <c r="F20" s="53">
        <f t="shared" si="3"/>
        <v>2.1679631357321161</v>
      </c>
      <c r="G20" s="53">
        <v>4487.58842</v>
      </c>
      <c r="H20" s="53">
        <v>65.019180000000006</v>
      </c>
      <c r="I20" s="53">
        <v>2134.3925800000002</v>
      </c>
      <c r="J20" s="53">
        <f t="shared" si="2"/>
        <v>6687.0001800000009</v>
      </c>
      <c r="K20" s="53">
        <f>J20/'Форма 1'!R21</f>
        <v>0.54312950025410101</v>
      </c>
      <c r="L20" s="53">
        <v>1326.01187</v>
      </c>
      <c r="M20" s="53">
        <v>19.63571</v>
      </c>
      <c r="N20" s="53">
        <v>644.58703000000003</v>
      </c>
      <c r="O20" s="53">
        <f t="shared" si="1"/>
        <v>1990.23461</v>
      </c>
    </row>
    <row r="21" spans="1:15" ht="25.5" x14ac:dyDescent="0.25">
      <c r="A21" s="55">
        <v>15</v>
      </c>
      <c r="B21" s="7" t="s">
        <v>29</v>
      </c>
      <c r="C21" s="55">
        <v>27</v>
      </c>
      <c r="D21" s="53">
        <v>14146.6</v>
      </c>
      <c r="E21" s="53">
        <v>29658.400000000001</v>
      </c>
      <c r="F21" s="53">
        <f t="shared" si="3"/>
        <v>2.0965037535520903</v>
      </c>
      <c r="G21" s="53">
        <v>3311.7976100000001</v>
      </c>
      <c r="H21" s="53">
        <v>0</v>
      </c>
      <c r="I21" s="53">
        <v>1285.0003899999999</v>
      </c>
      <c r="J21" s="53">
        <f>SUM(G21:I21)</f>
        <v>4596.7979999999998</v>
      </c>
      <c r="K21" s="53">
        <f>J21/'Форма 1'!R22</f>
        <v>0.58067074905615601</v>
      </c>
      <c r="L21" s="53">
        <v>1000.34761</v>
      </c>
      <c r="M21" s="53">
        <v>0</v>
      </c>
      <c r="N21" s="53">
        <v>388.06941</v>
      </c>
      <c r="O21" s="53">
        <f t="shared" si="1"/>
        <v>1388.4170200000001</v>
      </c>
    </row>
    <row r="22" spans="1:15" ht="25.5" x14ac:dyDescent="0.25">
      <c r="A22" s="55">
        <v>16</v>
      </c>
      <c r="B22" s="7" t="s">
        <v>30</v>
      </c>
      <c r="C22" s="55">
        <v>25.7</v>
      </c>
      <c r="D22" s="53">
        <v>16112.6</v>
      </c>
      <c r="E22" s="53">
        <v>26566.7</v>
      </c>
      <c r="F22" s="53">
        <f t="shared" si="3"/>
        <v>1.6488152129389422</v>
      </c>
      <c r="G22" s="53">
        <v>3502.2</v>
      </c>
      <c r="H22" s="53">
        <v>0</v>
      </c>
      <c r="I22" s="53">
        <v>1478.82521</v>
      </c>
      <c r="J22" s="53">
        <f>SUM(G22:I22)</f>
        <v>4981.0252099999998</v>
      </c>
      <c r="K22" s="53">
        <f>J22/'Форма 1'!R23</f>
        <v>0.57805276814039008</v>
      </c>
      <c r="L22" s="53">
        <v>1055.8563799999999</v>
      </c>
      <c r="M22" s="53">
        <v>0</v>
      </c>
      <c r="N22" s="53">
        <v>444.80115999999998</v>
      </c>
      <c r="O22" s="53">
        <f t="shared" si="1"/>
        <v>1500.6575399999999</v>
      </c>
    </row>
    <row r="23" spans="1:15" x14ac:dyDescent="0.25">
      <c r="A23" s="55">
        <v>17</v>
      </c>
      <c r="B23" s="7" t="s">
        <v>31</v>
      </c>
      <c r="C23" s="55">
        <v>15.3</v>
      </c>
      <c r="D23" s="53">
        <v>17684.7</v>
      </c>
      <c r="E23" s="53">
        <v>25933.4</v>
      </c>
      <c r="F23" s="53">
        <f t="shared" si="3"/>
        <v>1.4664314350823029</v>
      </c>
      <c r="G23" s="53">
        <v>2240.8776200000002</v>
      </c>
      <c r="H23" s="53">
        <v>0</v>
      </c>
      <c r="I23" s="53">
        <v>1011.39607</v>
      </c>
      <c r="J23" s="53">
        <f t="shared" ref="J23:J25" si="4">SUM(G23:I23)</f>
        <v>3252.27369</v>
      </c>
      <c r="K23" s="53">
        <f>J23/'Форма 1'!R24</f>
        <v>0.57915439625709975</v>
      </c>
      <c r="L23" s="53">
        <v>675.22175000000004</v>
      </c>
      <c r="M23" s="53">
        <v>0</v>
      </c>
      <c r="N23" s="53">
        <v>305.00718999999998</v>
      </c>
      <c r="O23" s="53">
        <f>SUM(L23:N23)</f>
        <v>980.22893999999997</v>
      </c>
    </row>
    <row r="24" spans="1:15" ht="25.5" x14ac:dyDescent="0.25">
      <c r="A24" s="55">
        <v>18</v>
      </c>
      <c r="B24" s="7" t="s">
        <v>32</v>
      </c>
      <c r="C24" s="55">
        <v>19.899999999999999</v>
      </c>
      <c r="D24" s="53">
        <v>17951.900000000001</v>
      </c>
      <c r="E24" s="53">
        <v>26875</v>
      </c>
      <c r="F24" s="53">
        <f t="shared" si="3"/>
        <v>1.4970560219252558</v>
      </c>
      <c r="G24" s="53">
        <v>2705.0630500000002</v>
      </c>
      <c r="H24" s="53">
        <v>0</v>
      </c>
      <c r="I24" s="53">
        <v>1523.7958599999999</v>
      </c>
      <c r="J24" s="53">
        <f t="shared" si="4"/>
        <v>4228.8589099999999</v>
      </c>
      <c r="K24" s="53">
        <f>J24/'Форма 1'!R25</f>
        <v>0.51103442551498823</v>
      </c>
      <c r="L24" s="53">
        <v>813.76558</v>
      </c>
      <c r="M24" s="53">
        <v>0</v>
      </c>
      <c r="N24" s="53">
        <v>460.15796999999998</v>
      </c>
      <c r="O24" s="53">
        <f t="shared" si="1"/>
        <v>1273.92355</v>
      </c>
    </row>
    <row r="25" spans="1:15" ht="25.5" x14ac:dyDescent="0.25">
      <c r="A25" s="55">
        <v>19</v>
      </c>
      <c r="B25" s="7" t="s">
        <v>33</v>
      </c>
      <c r="C25" s="55">
        <v>21.5</v>
      </c>
      <c r="D25" s="53">
        <v>15948.5</v>
      </c>
      <c r="E25" s="53">
        <v>26341.7</v>
      </c>
      <c r="F25" s="53">
        <f t="shared" si="3"/>
        <v>1.6516725710881901</v>
      </c>
      <c r="G25" s="53">
        <v>2638.9878899999999</v>
      </c>
      <c r="H25" s="53">
        <v>0</v>
      </c>
      <c r="I25" s="53">
        <v>1489.9892600000001</v>
      </c>
      <c r="J25" s="53">
        <f t="shared" si="4"/>
        <v>4128.9771499999997</v>
      </c>
      <c r="K25" s="53">
        <f>J25/'Форма 1'!R26</f>
        <v>0.44965082541635853</v>
      </c>
      <c r="L25" s="53">
        <v>792.64169000000004</v>
      </c>
      <c r="M25" s="53">
        <v>0</v>
      </c>
      <c r="N25" s="53">
        <v>449.99642999999998</v>
      </c>
      <c r="O25" s="53">
        <f t="shared" si="1"/>
        <v>1242.6381200000001</v>
      </c>
    </row>
    <row r="26" spans="1:15" x14ac:dyDescent="0.25">
      <c r="A26" s="55">
        <v>20</v>
      </c>
      <c r="B26" s="7" t="s">
        <v>34</v>
      </c>
      <c r="C26" s="55">
        <v>12.5</v>
      </c>
      <c r="D26" s="53">
        <v>13799.4</v>
      </c>
      <c r="E26" s="53">
        <v>22183.4</v>
      </c>
      <c r="F26" s="53">
        <f t="shared" si="3"/>
        <v>1.6075626476513474</v>
      </c>
      <c r="G26" s="53">
        <v>1533.8490300000001</v>
      </c>
      <c r="H26" s="53">
        <v>0</v>
      </c>
      <c r="I26" s="53">
        <v>541.91115000000002</v>
      </c>
      <c r="J26" s="53">
        <f>SUM(G26:I26)</f>
        <v>2075.7601800000002</v>
      </c>
      <c r="K26" s="53">
        <f>J26/'Форма 1'!R27</f>
        <v>0.59599327893427956</v>
      </c>
      <c r="L26" s="53">
        <v>463.11810000000003</v>
      </c>
      <c r="M26" s="53">
        <v>0</v>
      </c>
      <c r="N26" s="53">
        <v>163.67124000000001</v>
      </c>
      <c r="O26" s="53">
        <f t="shared" si="1"/>
        <v>626.78934000000004</v>
      </c>
    </row>
    <row r="27" spans="1:15" x14ac:dyDescent="0.25">
      <c r="A27" s="55">
        <v>21</v>
      </c>
      <c r="B27" s="7" t="s">
        <v>35</v>
      </c>
      <c r="C27" s="55">
        <v>9.6</v>
      </c>
      <c r="D27" s="53">
        <v>11175.4</v>
      </c>
      <c r="E27" s="53">
        <v>17316.7</v>
      </c>
      <c r="F27" s="53">
        <f t="shared" si="3"/>
        <v>1.549537376738193</v>
      </c>
      <c r="G27" s="53">
        <v>1050.1473000000001</v>
      </c>
      <c r="H27" s="53">
        <v>0</v>
      </c>
      <c r="I27" s="53">
        <v>247.2587</v>
      </c>
      <c r="J27" s="53">
        <f>SUM(G27:I27)</f>
        <v>1297.4060000000002</v>
      </c>
      <c r="K27" s="53">
        <f>J27/'Форма 1'!R28</f>
        <v>0.56376946916865556</v>
      </c>
      <c r="L27" s="53">
        <v>314.12360999999999</v>
      </c>
      <c r="M27" s="53">
        <v>0</v>
      </c>
      <c r="N27" s="53">
        <v>74.674000000000007</v>
      </c>
      <c r="O27" s="53">
        <f t="shared" si="1"/>
        <v>388.79760999999996</v>
      </c>
    </row>
    <row r="28" spans="1:15" ht="25.5" x14ac:dyDescent="0.25">
      <c r="A28" s="55">
        <v>22</v>
      </c>
      <c r="B28" s="7" t="s">
        <v>36</v>
      </c>
      <c r="C28" s="55">
        <v>14.9</v>
      </c>
      <c r="D28" s="53">
        <v>15692.4</v>
      </c>
      <c r="E28" s="53">
        <v>26133.4</v>
      </c>
      <c r="F28" s="53">
        <f t="shared" si="3"/>
        <v>1.6653539292906121</v>
      </c>
      <c r="G28" s="53">
        <v>1862.73047</v>
      </c>
      <c r="H28" s="53">
        <v>0</v>
      </c>
      <c r="I28" s="53">
        <v>949.14049999999997</v>
      </c>
      <c r="J28" s="53">
        <f t="shared" ref="J28:J39" si="5">SUM(G28:I28)</f>
        <v>2811.8709699999999</v>
      </c>
      <c r="K28" s="53">
        <f>J28/'Форма 1'!R29</f>
        <v>0.55061387236774562</v>
      </c>
      <c r="L28" s="53">
        <v>560.52275999999995</v>
      </c>
      <c r="M28" s="53">
        <v>0</v>
      </c>
      <c r="N28" s="53">
        <v>286.84248000000002</v>
      </c>
      <c r="O28" s="53">
        <f t="shared" si="1"/>
        <v>847.36523999999997</v>
      </c>
    </row>
    <row r="29" spans="1:15" x14ac:dyDescent="0.25">
      <c r="A29" s="55">
        <v>23</v>
      </c>
      <c r="B29" s="7" t="s">
        <v>134</v>
      </c>
      <c r="C29" s="55">
        <v>8.3000000000000007</v>
      </c>
      <c r="D29" s="53">
        <v>12021.1</v>
      </c>
      <c r="E29" s="53">
        <v>14633.4</v>
      </c>
      <c r="F29" s="53">
        <f t="shared" si="3"/>
        <v>1.2173095640166041</v>
      </c>
      <c r="G29" s="53">
        <v>987.52705000000003</v>
      </c>
      <c r="H29" s="53">
        <v>0</v>
      </c>
      <c r="I29" s="53">
        <v>213.67988</v>
      </c>
      <c r="J29" s="53">
        <f t="shared" si="5"/>
        <v>1201.2069300000001</v>
      </c>
      <c r="K29" s="53">
        <f>J29/'Форма 1'!R30</f>
        <v>0.48219001396343902</v>
      </c>
      <c r="L29" s="53">
        <v>297.06833999999998</v>
      </c>
      <c r="M29" s="53">
        <v>0</v>
      </c>
      <c r="N29" s="53">
        <v>64.529200000000003</v>
      </c>
      <c r="O29" s="53">
        <f t="shared" si="1"/>
        <v>361.59753999999998</v>
      </c>
    </row>
    <row r="30" spans="1:15" x14ac:dyDescent="0.25">
      <c r="A30" s="55">
        <v>24</v>
      </c>
      <c r="B30" s="7" t="s">
        <v>37</v>
      </c>
      <c r="C30" s="55">
        <v>14.4</v>
      </c>
      <c r="D30" s="53">
        <v>17905.099999999999</v>
      </c>
      <c r="E30" s="53">
        <v>22958.400000000001</v>
      </c>
      <c r="F30" s="53">
        <f t="shared" si="3"/>
        <v>1.2822268515674307</v>
      </c>
      <c r="G30" s="53">
        <v>2023.07482</v>
      </c>
      <c r="H30" s="53">
        <v>0</v>
      </c>
      <c r="I30" s="53">
        <v>1079.8544199999999</v>
      </c>
      <c r="J30" s="53">
        <f t="shared" si="5"/>
        <v>3102.9292399999999</v>
      </c>
      <c r="K30" s="53">
        <f>J30/'Форма 1'!R31</f>
        <v>0.48591050779127043</v>
      </c>
      <c r="L30" s="53">
        <v>608.31605999999999</v>
      </c>
      <c r="M30" s="53">
        <v>0</v>
      </c>
      <c r="N30" s="53">
        <v>326.11621000000002</v>
      </c>
      <c r="O30" s="53">
        <f t="shared" si="1"/>
        <v>934.43227000000002</v>
      </c>
    </row>
    <row r="31" spans="1:15" x14ac:dyDescent="0.25">
      <c r="A31" s="55">
        <v>25</v>
      </c>
      <c r="B31" s="7" t="s">
        <v>38</v>
      </c>
      <c r="C31" s="55">
        <v>32.4</v>
      </c>
      <c r="D31" s="53">
        <v>17168.5</v>
      </c>
      <c r="E31" s="53">
        <v>35625</v>
      </c>
      <c r="F31" s="53">
        <f t="shared" si="3"/>
        <v>2.0750211142499344</v>
      </c>
      <c r="G31" s="53">
        <v>4557.4276799999998</v>
      </c>
      <c r="H31" s="53">
        <v>0</v>
      </c>
      <c r="I31" s="53">
        <v>2132.0563900000002</v>
      </c>
      <c r="J31" s="53">
        <f t="shared" si="5"/>
        <v>6689.4840700000004</v>
      </c>
      <c r="K31" s="53">
        <f>J31/'Форма 1'!R32</f>
        <v>0.57567616683023359</v>
      </c>
      <c r="L31" s="53">
        <v>1371.9935</v>
      </c>
      <c r="M31" s="53">
        <v>0</v>
      </c>
      <c r="N31" s="53">
        <v>643.93089999999995</v>
      </c>
      <c r="O31" s="53">
        <f t="shared" si="1"/>
        <v>2015.9243999999999</v>
      </c>
    </row>
    <row r="32" spans="1:15" ht="25.5" x14ac:dyDescent="0.25">
      <c r="A32" s="55">
        <v>26</v>
      </c>
      <c r="B32" s="7" t="s">
        <v>39</v>
      </c>
      <c r="C32" s="55">
        <v>11.9</v>
      </c>
      <c r="D32" s="53">
        <v>12829.2</v>
      </c>
      <c r="E32" s="53">
        <v>21925</v>
      </c>
      <c r="F32" s="53">
        <f t="shared" si="3"/>
        <v>1.7089919870295887</v>
      </c>
      <c r="G32" s="53">
        <v>1339.1465800000001</v>
      </c>
      <c r="H32" s="53">
        <v>0</v>
      </c>
      <c r="I32" s="53">
        <v>491.76141999999999</v>
      </c>
      <c r="J32" s="53">
        <f t="shared" si="5"/>
        <v>1830.9080000000001</v>
      </c>
      <c r="K32" s="53">
        <f>J32/'Форма 1'!R33</f>
        <v>0.42359463100535399</v>
      </c>
      <c r="L32" s="53">
        <v>402.01934</v>
      </c>
      <c r="M32" s="53">
        <v>0</v>
      </c>
      <c r="N32" s="53">
        <v>152.81465</v>
      </c>
      <c r="O32" s="53">
        <f t="shared" si="1"/>
        <v>554.83398999999997</v>
      </c>
    </row>
    <row r="33" spans="1:15" ht="25.5" x14ac:dyDescent="0.25">
      <c r="A33" s="55">
        <v>27</v>
      </c>
      <c r="B33" s="7" t="s">
        <v>40</v>
      </c>
      <c r="C33" s="55">
        <v>23.1</v>
      </c>
      <c r="D33" s="53">
        <v>15002.9</v>
      </c>
      <c r="E33" s="53">
        <v>23033.4</v>
      </c>
      <c r="F33" s="53">
        <f t="shared" si="3"/>
        <v>1.5352631824513929</v>
      </c>
      <c r="G33" s="53">
        <v>2512.5</v>
      </c>
      <c r="H33" s="53">
        <v>0</v>
      </c>
      <c r="I33" s="53">
        <v>1652.58233</v>
      </c>
      <c r="J33" s="53">
        <f t="shared" si="5"/>
        <v>4165.0823300000002</v>
      </c>
      <c r="K33" s="53">
        <f>J33/'Форма 1'!R34</f>
        <v>0.50548086252209579</v>
      </c>
      <c r="L33" s="53">
        <v>756.83178999999996</v>
      </c>
      <c r="M33" s="53">
        <v>0</v>
      </c>
      <c r="N33" s="53">
        <v>499.13267999999999</v>
      </c>
      <c r="O33" s="53">
        <f t="shared" si="1"/>
        <v>1255.9644699999999</v>
      </c>
    </row>
    <row r="34" spans="1:15" x14ac:dyDescent="0.25">
      <c r="A34" s="55">
        <v>28</v>
      </c>
      <c r="B34" s="7" t="s">
        <v>41</v>
      </c>
      <c r="C34" s="55">
        <v>12.2</v>
      </c>
      <c r="D34" s="53">
        <v>17908.5</v>
      </c>
      <c r="E34" s="53">
        <v>24666.7</v>
      </c>
      <c r="F34" s="53">
        <f t="shared" si="3"/>
        <v>1.377373872741994</v>
      </c>
      <c r="G34" s="53">
        <v>1857.27592</v>
      </c>
      <c r="H34" s="53">
        <v>0</v>
      </c>
      <c r="I34" s="53">
        <v>772.98800000000006</v>
      </c>
      <c r="J34" s="53">
        <f t="shared" si="5"/>
        <v>2630.2639200000003</v>
      </c>
      <c r="K34" s="53">
        <f>J34/'Форма 1'!R35</f>
        <v>0.37749307019893741</v>
      </c>
      <c r="L34" s="53">
        <v>559.70845999999995</v>
      </c>
      <c r="M34" s="53">
        <v>0</v>
      </c>
      <c r="N34" s="53">
        <v>233.46921</v>
      </c>
      <c r="O34" s="53">
        <f t="shared" si="1"/>
        <v>793.17766999999992</v>
      </c>
    </row>
    <row r="35" spans="1:15" ht="25.5" x14ac:dyDescent="0.25">
      <c r="A35" s="55">
        <v>29</v>
      </c>
      <c r="B35" s="7" t="s">
        <v>42</v>
      </c>
      <c r="C35" s="55">
        <v>17</v>
      </c>
      <c r="D35" s="53">
        <v>12030.4</v>
      </c>
      <c r="E35" s="53">
        <v>27533.4</v>
      </c>
      <c r="F35" s="53">
        <f t="shared" si="3"/>
        <v>2.2886520813938027</v>
      </c>
      <c r="G35" s="53">
        <v>1965.98162</v>
      </c>
      <c r="H35" s="53">
        <v>0</v>
      </c>
      <c r="I35" s="53">
        <v>490.59850999999998</v>
      </c>
      <c r="J35" s="53">
        <f t="shared" si="5"/>
        <v>2456.5801299999998</v>
      </c>
      <c r="K35" s="53">
        <f>J35/'Форма 1'!R36</f>
        <v>0.61407679168133233</v>
      </c>
      <c r="L35" s="53">
        <v>600.00211000000002</v>
      </c>
      <c r="M35" s="53">
        <v>0</v>
      </c>
      <c r="N35" s="53">
        <v>148.15967000000001</v>
      </c>
      <c r="O35" s="53">
        <f t="shared" si="1"/>
        <v>748.16178000000002</v>
      </c>
    </row>
    <row r="36" spans="1:15" x14ac:dyDescent="0.25">
      <c r="A36" s="55">
        <v>30</v>
      </c>
      <c r="B36" s="7" t="s">
        <v>43</v>
      </c>
      <c r="C36" s="55">
        <v>26.3</v>
      </c>
      <c r="D36" s="53">
        <v>14088.4</v>
      </c>
      <c r="E36" s="53">
        <v>21975</v>
      </c>
      <c r="F36" s="53">
        <f t="shared" si="3"/>
        <v>1.5597938729735101</v>
      </c>
      <c r="G36" s="53">
        <v>3074.2621899999999</v>
      </c>
      <c r="H36" s="53">
        <v>0</v>
      </c>
      <c r="I36" s="53">
        <v>1395.5707199999999</v>
      </c>
      <c r="J36" s="53">
        <f t="shared" si="5"/>
        <v>4469.8329100000001</v>
      </c>
      <c r="K36" s="53">
        <f>J36/'Форма 1'!R37</f>
        <v>0.54555257538592716</v>
      </c>
      <c r="L36" s="53">
        <v>921.32128999999998</v>
      </c>
      <c r="M36" s="53">
        <v>0</v>
      </c>
      <c r="N36" s="53">
        <v>421.46208999999999</v>
      </c>
      <c r="O36" s="53">
        <f t="shared" si="1"/>
        <v>1342.7833799999999</v>
      </c>
    </row>
    <row r="37" spans="1:15" ht="25.5" x14ac:dyDescent="0.25">
      <c r="A37" s="55">
        <v>31</v>
      </c>
      <c r="B37" s="7" t="s">
        <v>44</v>
      </c>
      <c r="C37" s="55">
        <v>26</v>
      </c>
      <c r="D37" s="53">
        <v>16501</v>
      </c>
      <c r="E37" s="53">
        <v>27525</v>
      </c>
      <c r="F37" s="53">
        <f t="shared" si="3"/>
        <v>1.6680807223804619</v>
      </c>
      <c r="G37" s="53">
        <v>3099.8</v>
      </c>
      <c r="H37" s="53">
        <v>0</v>
      </c>
      <c r="I37" s="53">
        <v>2057.82978</v>
      </c>
      <c r="J37" s="53">
        <f t="shared" si="5"/>
        <v>5157.6297800000002</v>
      </c>
      <c r="K37" s="53">
        <f>J37/'Форма 1'!R38</f>
        <v>0.58230676288011773</v>
      </c>
      <c r="L37" s="53">
        <v>933.40885000000003</v>
      </c>
      <c r="M37" s="53">
        <v>0</v>
      </c>
      <c r="N37" s="53">
        <v>621.43501000000003</v>
      </c>
      <c r="O37" s="53">
        <f t="shared" si="1"/>
        <v>1554.8438599999999</v>
      </c>
    </row>
    <row r="38" spans="1:15" ht="25.5" x14ac:dyDescent="0.25">
      <c r="A38" s="55">
        <v>32</v>
      </c>
      <c r="B38" s="7" t="s">
        <v>45</v>
      </c>
      <c r="C38" s="55">
        <v>24.2</v>
      </c>
      <c r="D38" s="53">
        <v>15717.3</v>
      </c>
      <c r="E38" s="53">
        <v>29858.400000000001</v>
      </c>
      <c r="F38" s="53">
        <f t="shared" si="3"/>
        <v>1.8997156000076352</v>
      </c>
      <c r="G38" s="53">
        <v>3070.92994</v>
      </c>
      <c r="H38" s="53">
        <v>0</v>
      </c>
      <c r="I38" s="53">
        <v>1519.4842000000001</v>
      </c>
      <c r="J38" s="53">
        <f t="shared" si="5"/>
        <v>4590.4141399999999</v>
      </c>
      <c r="K38" s="53">
        <f>J38/'Форма 1'!R39</f>
        <v>0.57324759615073018</v>
      </c>
      <c r="L38" s="53">
        <v>922.42755</v>
      </c>
      <c r="M38" s="53">
        <v>0</v>
      </c>
      <c r="N38" s="53">
        <v>458.90528999999998</v>
      </c>
      <c r="O38" s="53">
        <f t="shared" si="1"/>
        <v>1381.33284</v>
      </c>
    </row>
    <row r="39" spans="1:15" x14ac:dyDescent="0.25">
      <c r="A39" s="55">
        <v>33</v>
      </c>
      <c r="B39" s="7" t="s">
        <v>46</v>
      </c>
      <c r="C39" s="55">
        <v>20.7</v>
      </c>
      <c r="D39" s="53">
        <v>19892.2</v>
      </c>
      <c r="E39" s="67">
        <v>16891.669999999998</v>
      </c>
      <c r="F39" s="53">
        <f t="shared" si="3"/>
        <v>0.84916047496003444</v>
      </c>
      <c r="G39" s="53">
        <v>4478.1400000000003</v>
      </c>
      <c r="H39" s="53">
        <v>0</v>
      </c>
      <c r="I39" s="53">
        <v>485.58366000000001</v>
      </c>
      <c r="J39" s="53">
        <f t="shared" si="5"/>
        <v>4963.7236600000006</v>
      </c>
      <c r="K39" s="53">
        <f>J39/'Форма 1'!R40</f>
        <v>0.52209714926911976</v>
      </c>
      <c r="L39" s="53">
        <v>1349.91138</v>
      </c>
      <c r="M39" s="53">
        <v>0</v>
      </c>
      <c r="N39" s="53">
        <v>146.5701</v>
      </c>
      <c r="O39" s="53">
        <f>SUM(L39:N39)</f>
        <v>1496.4814799999999</v>
      </c>
    </row>
    <row r="40" spans="1:15" x14ac:dyDescent="0.25">
      <c r="A40" s="55">
        <v>34</v>
      </c>
      <c r="B40" s="7" t="s">
        <v>47</v>
      </c>
      <c r="C40" s="55">
        <v>47.1</v>
      </c>
      <c r="D40" s="53">
        <v>20037.400000000001</v>
      </c>
      <c r="E40" s="53">
        <v>58900</v>
      </c>
      <c r="F40" s="53">
        <f t="shared" si="3"/>
        <v>2.9395031291484921</v>
      </c>
      <c r="G40" s="53">
        <v>10320.15508</v>
      </c>
      <c r="H40" s="53">
        <v>0</v>
      </c>
      <c r="I40" s="53">
        <v>932.95813999999996</v>
      </c>
      <c r="J40" s="53">
        <f>SUM(G40:I40)</f>
        <v>11253.113220000001</v>
      </c>
      <c r="K40" s="53">
        <f>J40/'Форма 1'!R41</f>
        <v>0.54736735283595161</v>
      </c>
      <c r="L40" s="53">
        <v>3078.63456</v>
      </c>
      <c r="M40" s="53">
        <v>0</v>
      </c>
      <c r="N40" s="53">
        <v>281.75614000000002</v>
      </c>
      <c r="O40" s="53">
        <f t="shared" si="1"/>
        <v>3360.3906999999999</v>
      </c>
    </row>
    <row r="41" spans="1:15" x14ac:dyDescent="0.25">
      <c r="A41" s="55">
        <v>35</v>
      </c>
      <c r="B41" s="7" t="s">
        <v>48</v>
      </c>
      <c r="C41" s="55">
        <v>24.5</v>
      </c>
      <c r="D41" s="53">
        <v>20695.599999999999</v>
      </c>
      <c r="E41" s="53">
        <v>53366.7</v>
      </c>
      <c r="F41" s="53">
        <f t="shared" si="3"/>
        <v>2.578649568024121</v>
      </c>
      <c r="G41" s="53">
        <v>5297.0702700000002</v>
      </c>
      <c r="H41" s="53">
        <v>0</v>
      </c>
      <c r="I41" s="53">
        <v>716.76289999999995</v>
      </c>
      <c r="J41" s="53">
        <f>SUM(G41:I41)</f>
        <v>6013.8331699999999</v>
      </c>
      <c r="K41" s="53">
        <f>J41/'Форма 1'!R42</f>
        <v>0.6050760976340126</v>
      </c>
      <c r="L41" s="53">
        <v>1573.61256</v>
      </c>
      <c r="M41" s="53">
        <v>0</v>
      </c>
      <c r="N41" s="53">
        <v>216.46307999999999</v>
      </c>
      <c r="O41" s="53">
        <f t="shared" si="1"/>
        <v>1790.07564</v>
      </c>
    </row>
    <row r="42" spans="1:15" ht="25.5" x14ac:dyDescent="0.25">
      <c r="A42" s="55">
        <v>36</v>
      </c>
      <c r="B42" s="7" t="s">
        <v>49</v>
      </c>
      <c r="C42" s="55">
        <v>22.8</v>
      </c>
      <c r="D42" s="53">
        <v>18651.400000000001</v>
      </c>
      <c r="E42" s="53">
        <v>36491.699999999997</v>
      </c>
      <c r="F42" s="53">
        <f t="shared" si="3"/>
        <v>1.9565126478441293</v>
      </c>
      <c r="G42" s="53">
        <v>4612.6884300000002</v>
      </c>
      <c r="H42" s="53">
        <v>0</v>
      </c>
      <c r="I42" s="53">
        <v>451.94396999999998</v>
      </c>
      <c r="J42" s="53">
        <f t="shared" ref="J42:J53" si="6">SUM(G42:I42)</f>
        <v>5064.6324000000004</v>
      </c>
      <c r="K42" s="53">
        <f>J42/'Форма 1'!R43</f>
        <v>0.61775187088176142</v>
      </c>
      <c r="L42" s="53">
        <v>1391.9908700000001</v>
      </c>
      <c r="M42" s="53">
        <v>0</v>
      </c>
      <c r="N42" s="53">
        <v>136.49981</v>
      </c>
      <c r="O42" s="53">
        <f t="shared" si="1"/>
        <v>1528.4906800000001</v>
      </c>
    </row>
    <row r="43" spans="1:15" x14ac:dyDescent="0.25">
      <c r="A43" s="55">
        <v>37</v>
      </c>
      <c r="B43" s="7" t="s">
        <v>50</v>
      </c>
      <c r="C43" s="55">
        <v>32.4</v>
      </c>
      <c r="D43" s="53">
        <v>15069.5</v>
      </c>
      <c r="E43" s="53">
        <v>33333.4</v>
      </c>
      <c r="F43" s="53">
        <f t="shared" si="3"/>
        <v>2.2119778360264108</v>
      </c>
      <c r="G43" s="53">
        <v>5458.8654999999999</v>
      </c>
      <c r="H43" s="53">
        <v>0</v>
      </c>
      <c r="I43" s="53">
        <v>401.75344000000001</v>
      </c>
      <c r="J43" s="53">
        <f t="shared" si="6"/>
        <v>5860.6189400000003</v>
      </c>
      <c r="K43" s="53">
        <f>J43/'Форма 1'!R44</f>
        <v>0.70071546229831216</v>
      </c>
      <c r="L43" s="53">
        <v>1648.0924199999999</v>
      </c>
      <c r="M43" s="53">
        <v>0</v>
      </c>
      <c r="N43" s="53">
        <v>121.31082000000001</v>
      </c>
      <c r="O43" s="53">
        <f t="shared" si="1"/>
        <v>1769.4032399999999</v>
      </c>
    </row>
    <row r="44" spans="1:15" ht="25.5" x14ac:dyDescent="0.25">
      <c r="A44" s="55">
        <v>38</v>
      </c>
      <c r="B44" s="7" t="s">
        <v>51</v>
      </c>
      <c r="C44" s="55">
        <v>65.8</v>
      </c>
      <c r="D44" s="53">
        <v>19650.5</v>
      </c>
      <c r="E44" s="53">
        <v>43025</v>
      </c>
      <c r="F44" s="53">
        <f t="shared" si="3"/>
        <v>2.1895117172591028</v>
      </c>
      <c r="G44" s="53">
        <v>14049.458339999999</v>
      </c>
      <c r="H44" s="53">
        <v>0</v>
      </c>
      <c r="I44" s="53">
        <v>1361.1923099999999</v>
      </c>
      <c r="J44" s="53">
        <f t="shared" si="6"/>
        <v>15410.65065</v>
      </c>
      <c r="K44" s="53">
        <f>J44/'Форма 1'!R45</f>
        <v>0.54209277864161165</v>
      </c>
      <c r="L44" s="53">
        <v>4208.5959899999998</v>
      </c>
      <c r="M44" s="53">
        <v>0</v>
      </c>
      <c r="N44" s="53">
        <v>410.39184</v>
      </c>
      <c r="O44" s="53">
        <f t="shared" si="1"/>
        <v>4618.98783</v>
      </c>
    </row>
    <row r="45" spans="1:15" x14ac:dyDescent="0.25">
      <c r="A45" s="55">
        <v>39</v>
      </c>
      <c r="B45" s="7" t="s">
        <v>52</v>
      </c>
      <c r="C45" s="55">
        <v>27.4</v>
      </c>
      <c r="D45" s="53">
        <v>22575.200000000001</v>
      </c>
      <c r="E45" s="53">
        <v>43916.7</v>
      </c>
      <c r="F45" s="53">
        <f t="shared" si="3"/>
        <v>1.9453515361990146</v>
      </c>
      <c r="G45" s="53">
        <v>6616.8119500000003</v>
      </c>
      <c r="H45" s="53">
        <v>0</v>
      </c>
      <c r="I45" s="53">
        <v>850.74287000000004</v>
      </c>
      <c r="J45" s="53">
        <f t="shared" si="6"/>
        <v>7467.5548200000003</v>
      </c>
      <c r="K45" s="53">
        <f>J45/'Форма 1'!R46</f>
        <v>0.58523856751982894</v>
      </c>
      <c r="L45" s="53">
        <v>1953.44463</v>
      </c>
      <c r="M45" s="53">
        <v>0</v>
      </c>
      <c r="N45" s="53">
        <v>255.93253999999999</v>
      </c>
      <c r="O45" s="53">
        <f t="shared" si="1"/>
        <v>2209.3771699999998</v>
      </c>
    </row>
    <row r="46" spans="1:15" x14ac:dyDescent="0.25">
      <c r="A46" s="55">
        <v>40</v>
      </c>
      <c r="B46" s="7" t="s">
        <v>53</v>
      </c>
      <c r="C46" s="55">
        <v>90.3</v>
      </c>
      <c r="D46" s="53">
        <v>25425.9</v>
      </c>
      <c r="E46" s="53">
        <v>68925</v>
      </c>
      <c r="F46" s="53">
        <f t="shared" si="3"/>
        <v>2.7108184961004329</v>
      </c>
      <c r="G46" s="53">
        <v>24064.050920000001</v>
      </c>
      <c r="H46" s="53">
        <v>0</v>
      </c>
      <c r="I46" s="53">
        <v>2444.2711100000001</v>
      </c>
      <c r="J46" s="53">
        <f t="shared" si="6"/>
        <v>26508.322030000003</v>
      </c>
      <c r="K46" s="53">
        <f>J46/'Форма 1'!R47</f>
        <v>0.55724468554602347</v>
      </c>
      <c r="L46" s="53">
        <v>7138.34926</v>
      </c>
      <c r="M46" s="53">
        <v>0</v>
      </c>
      <c r="N46" s="53">
        <v>736.26426000000004</v>
      </c>
      <c r="O46" s="53">
        <f t="shared" si="1"/>
        <v>7874.6135199999999</v>
      </c>
    </row>
    <row r="47" spans="1:15" x14ac:dyDescent="0.25">
      <c r="A47" s="55">
        <v>41</v>
      </c>
      <c r="B47" s="7" t="s">
        <v>54</v>
      </c>
      <c r="C47" s="55">
        <v>51.1</v>
      </c>
      <c r="D47" s="53">
        <v>22981.599999999999</v>
      </c>
      <c r="E47" s="53">
        <v>60166.7</v>
      </c>
      <c r="F47" s="53">
        <f t="shared" si="3"/>
        <v>2.6180379085877399</v>
      </c>
      <c r="G47" s="53">
        <v>13156.280580000001</v>
      </c>
      <c r="H47" s="53">
        <v>0</v>
      </c>
      <c r="I47" s="53">
        <v>911.26698999999996</v>
      </c>
      <c r="J47" s="53">
        <f t="shared" si="6"/>
        <v>14067.547570000001</v>
      </c>
      <c r="K47" s="53">
        <f>J47/'Форма 1'!R48</f>
        <v>0.48508287079293488</v>
      </c>
      <c r="L47" s="53">
        <v>3898.57494</v>
      </c>
      <c r="M47" s="53">
        <v>0</v>
      </c>
      <c r="N47" s="53">
        <v>274.31205</v>
      </c>
      <c r="O47" s="53">
        <f t="shared" si="1"/>
        <v>4172.88699</v>
      </c>
    </row>
    <row r="48" spans="1:15" x14ac:dyDescent="0.25">
      <c r="A48" s="55">
        <v>42</v>
      </c>
      <c r="B48" s="7" t="s">
        <v>55</v>
      </c>
      <c r="C48" s="55">
        <v>60.7</v>
      </c>
      <c r="D48" s="53">
        <v>25352.5</v>
      </c>
      <c r="E48" s="53">
        <v>61750</v>
      </c>
      <c r="F48" s="53">
        <f t="shared" si="3"/>
        <v>2.4356572330144957</v>
      </c>
      <c r="G48" s="53">
        <v>16759.9208</v>
      </c>
      <c r="H48" s="53">
        <v>0</v>
      </c>
      <c r="I48" s="53">
        <v>1583.2503200000001</v>
      </c>
      <c r="J48" s="53">
        <f t="shared" si="6"/>
        <v>18343.171119999999</v>
      </c>
      <c r="K48" s="53">
        <f>J48/'Форма 1'!R49</f>
        <v>0.59935481831570037</v>
      </c>
      <c r="L48" s="53">
        <v>4998.4513200000001</v>
      </c>
      <c r="M48" s="53">
        <v>0</v>
      </c>
      <c r="N48" s="53">
        <v>476.85174000000001</v>
      </c>
      <c r="O48" s="53">
        <f t="shared" si="1"/>
        <v>5475.3030600000002</v>
      </c>
    </row>
    <row r="49" spans="1:15" x14ac:dyDescent="0.25">
      <c r="A49" s="55">
        <v>43</v>
      </c>
      <c r="B49" s="7" t="s">
        <v>56</v>
      </c>
      <c r="C49" s="55">
        <v>36.9</v>
      </c>
      <c r="D49" s="53">
        <v>26174.400000000001</v>
      </c>
      <c r="E49" s="53">
        <v>50658.400000000001</v>
      </c>
      <c r="F49" s="53">
        <f t="shared" si="3"/>
        <v>1.9354178128247448</v>
      </c>
      <c r="G49" s="53">
        <v>10549.33093</v>
      </c>
      <c r="H49" s="53">
        <v>0</v>
      </c>
      <c r="I49" s="53">
        <v>1003.78309</v>
      </c>
      <c r="J49" s="53">
        <f t="shared" si="6"/>
        <v>11553.114020000001</v>
      </c>
      <c r="K49" s="53">
        <f>J49/'Форма 1'!R50</f>
        <v>0.5832928389823191</v>
      </c>
      <c r="L49" s="53">
        <v>3179.2033200000001</v>
      </c>
      <c r="M49" s="53">
        <v>0</v>
      </c>
      <c r="N49" s="53">
        <v>304.29746999999998</v>
      </c>
      <c r="O49" s="53">
        <f t="shared" si="1"/>
        <v>3483.5007900000001</v>
      </c>
    </row>
    <row r="50" spans="1:15" x14ac:dyDescent="0.25">
      <c r="A50" s="55">
        <v>44</v>
      </c>
      <c r="B50" s="7" t="s">
        <v>57</v>
      </c>
      <c r="C50" s="55">
        <v>35.6</v>
      </c>
      <c r="D50" s="53">
        <v>16788.7</v>
      </c>
      <c r="E50" s="53">
        <v>29000</v>
      </c>
      <c r="F50" s="53">
        <f t="shared" si="3"/>
        <v>1.7273523262670725</v>
      </c>
      <c r="G50" s="53">
        <v>6491.1254499999995</v>
      </c>
      <c r="H50" s="53">
        <v>0</v>
      </c>
      <c r="I50" s="53">
        <v>616.81169</v>
      </c>
      <c r="J50" s="53">
        <f t="shared" si="6"/>
        <v>7107.93714</v>
      </c>
      <c r="K50" s="53">
        <f>J50/'Форма 1'!R51</f>
        <v>0.5362240014674502</v>
      </c>
      <c r="L50" s="53">
        <v>1953.73965</v>
      </c>
      <c r="M50" s="53">
        <v>0</v>
      </c>
      <c r="N50" s="53">
        <v>186.3134</v>
      </c>
      <c r="O50" s="53">
        <f t="shared" si="1"/>
        <v>2140.05305</v>
      </c>
    </row>
    <row r="51" spans="1:15" x14ac:dyDescent="0.25">
      <c r="A51" s="55">
        <v>45</v>
      </c>
      <c r="B51" s="7" t="s">
        <v>58</v>
      </c>
      <c r="C51" s="55">
        <v>42.4</v>
      </c>
      <c r="D51" s="53">
        <v>17278.5</v>
      </c>
      <c r="E51" s="53">
        <v>38725</v>
      </c>
      <c r="F51" s="53">
        <f t="shared" si="3"/>
        <v>2.2412246433428828</v>
      </c>
      <c r="G51" s="53">
        <v>7671.9791100000002</v>
      </c>
      <c r="H51" s="53">
        <v>0</v>
      </c>
      <c r="I51" s="53">
        <v>882.94065999999998</v>
      </c>
      <c r="J51" s="53">
        <f t="shared" si="6"/>
        <v>8554.9197700000004</v>
      </c>
      <c r="K51" s="53">
        <f>J51/'Форма 1'!R52</f>
        <v>0.43690110255772219</v>
      </c>
      <c r="L51" s="53">
        <v>2305.8554100000001</v>
      </c>
      <c r="M51" s="53">
        <v>0</v>
      </c>
      <c r="N51" s="53">
        <v>266.35646000000003</v>
      </c>
      <c r="O51" s="53">
        <f t="shared" si="1"/>
        <v>2572.2118700000001</v>
      </c>
    </row>
    <row r="52" spans="1:15" x14ac:dyDescent="0.25">
      <c r="A52" s="55">
        <v>46</v>
      </c>
      <c r="B52" s="7" t="s">
        <v>59</v>
      </c>
      <c r="C52" s="55">
        <v>35.6</v>
      </c>
      <c r="D52" s="53">
        <v>16207.9</v>
      </c>
      <c r="E52" s="53">
        <v>25791.7</v>
      </c>
      <c r="F52" s="53">
        <f t="shared" si="3"/>
        <v>1.5913042405246824</v>
      </c>
      <c r="G52" s="53">
        <v>6297.0567199999996</v>
      </c>
      <c r="H52" s="53">
        <v>0</v>
      </c>
      <c r="I52" s="53">
        <v>552.42942000000005</v>
      </c>
      <c r="J52" s="53">
        <f t="shared" si="6"/>
        <v>6849.48614</v>
      </c>
      <c r="K52" s="53">
        <f>J52/'Форма 1'!R53</f>
        <v>0.54334672081439639</v>
      </c>
      <c r="L52" s="53">
        <v>1894.53808</v>
      </c>
      <c r="M52" s="53">
        <v>0</v>
      </c>
      <c r="N52" s="53">
        <v>166.77369999999999</v>
      </c>
      <c r="O52" s="53">
        <f t="shared" si="1"/>
        <v>2061.31178</v>
      </c>
    </row>
    <row r="53" spans="1:15" x14ac:dyDescent="0.25">
      <c r="A53" s="55">
        <v>47</v>
      </c>
      <c r="B53" s="7" t="s">
        <v>60</v>
      </c>
      <c r="C53" s="55">
        <v>30.9</v>
      </c>
      <c r="D53" s="53">
        <v>21293.5</v>
      </c>
      <c r="E53" s="53">
        <v>29241.7</v>
      </c>
      <c r="F53" s="53">
        <f t="shared" si="3"/>
        <v>1.3732688379082818</v>
      </c>
      <c r="G53" s="53">
        <v>7204.4993199999999</v>
      </c>
      <c r="H53" s="53">
        <v>0</v>
      </c>
      <c r="I53" s="53">
        <v>635.92516999999998</v>
      </c>
      <c r="J53" s="53">
        <f t="shared" si="6"/>
        <v>7840.4244899999994</v>
      </c>
      <c r="K53" s="53">
        <f>J53/'Форма 1'!R54</f>
        <v>0.53330658995468527</v>
      </c>
      <c r="L53" s="53">
        <v>2171.6861800000001</v>
      </c>
      <c r="M53" s="53">
        <v>0</v>
      </c>
      <c r="N53" s="53">
        <v>191.90178</v>
      </c>
      <c r="O53" s="53">
        <f t="shared" si="1"/>
        <v>2363.5879600000003</v>
      </c>
    </row>
    <row r="54" spans="1:15" x14ac:dyDescent="0.25">
      <c r="A54" s="55">
        <v>48</v>
      </c>
      <c r="B54" s="7" t="s">
        <v>61</v>
      </c>
      <c r="C54" s="55">
        <v>36.700000000000003</v>
      </c>
      <c r="D54" s="53">
        <v>20936.5</v>
      </c>
      <c r="E54" s="53">
        <v>40100</v>
      </c>
      <c r="F54" s="53">
        <f t="shared" si="3"/>
        <v>1.9153153583454732</v>
      </c>
      <c r="G54" s="53">
        <v>8326.9670000000006</v>
      </c>
      <c r="H54" s="53">
        <v>0</v>
      </c>
      <c r="I54" s="53">
        <v>881.87428999999997</v>
      </c>
      <c r="J54" s="53">
        <f>SUM(G54:I54)</f>
        <v>9208.8412900000003</v>
      </c>
      <c r="K54" s="53">
        <f>J54/'Форма 1'!R55</f>
        <v>0.52225502025907455</v>
      </c>
      <c r="L54" s="53">
        <v>2507.1019099999999</v>
      </c>
      <c r="M54" s="53">
        <v>0</v>
      </c>
      <c r="N54" s="53">
        <v>266.02560999999997</v>
      </c>
      <c r="O54" s="53">
        <f t="shared" si="1"/>
        <v>2773.12752</v>
      </c>
    </row>
    <row r="55" spans="1:15" x14ac:dyDescent="0.25">
      <c r="A55" s="55">
        <v>49</v>
      </c>
      <c r="B55" s="7" t="s">
        <v>62</v>
      </c>
      <c r="C55" s="55">
        <v>27.3</v>
      </c>
      <c r="D55" s="53">
        <v>18526.3</v>
      </c>
      <c r="E55" s="53">
        <v>38808.400000000001</v>
      </c>
      <c r="F55" s="53">
        <f t="shared" si="3"/>
        <v>2.0947733762273093</v>
      </c>
      <c r="G55" s="53">
        <v>5525.2251800000004</v>
      </c>
      <c r="H55" s="53">
        <v>0</v>
      </c>
      <c r="I55" s="53">
        <v>554.62508000000003</v>
      </c>
      <c r="J55" s="53">
        <f>SUM(G55:I55)</f>
        <v>6079.8502600000002</v>
      </c>
      <c r="K55" s="53">
        <f>J55/'Форма 1'!R56</f>
        <v>0.50007919664700551</v>
      </c>
      <c r="L55" s="53">
        <v>1660.8650500000001</v>
      </c>
      <c r="M55" s="53">
        <v>0</v>
      </c>
      <c r="N55" s="53">
        <v>167.22423000000001</v>
      </c>
      <c r="O55" s="53">
        <f>SUM(L55:N55)</f>
        <v>1828.0892800000001</v>
      </c>
    </row>
    <row r="56" spans="1:15" x14ac:dyDescent="0.25">
      <c r="A56" s="55">
        <v>50</v>
      </c>
      <c r="B56" s="7" t="s">
        <v>63</v>
      </c>
      <c r="C56" s="55">
        <v>32.700000000000003</v>
      </c>
      <c r="D56" s="53">
        <v>21984</v>
      </c>
      <c r="E56" s="53">
        <v>53125</v>
      </c>
      <c r="F56" s="53">
        <f t="shared" si="3"/>
        <v>2.4165302037845704</v>
      </c>
      <c r="G56" s="53">
        <v>7724.3294299999998</v>
      </c>
      <c r="H56" s="53">
        <v>0</v>
      </c>
      <c r="I56" s="53">
        <v>895.49500999999998</v>
      </c>
      <c r="J56" s="53">
        <f t="shared" ref="J56" si="7">SUM(G56:I56)</f>
        <v>8619.8244400000003</v>
      </c>
      <c r="K56" s="53">
        <f>J56/'Форма 1'!R57</f>
        <v>0.5192419192119645</v>
      </c>
      <c r="L56" s="53">
        <v>2311.8016600000001</v>
      </c>
      <c r="M56" s="53">
        <v>0</v>
      </c>
      <c r="N56" s="53">
        <v>270.15487000000002</v>
      </c>
      <c r="O56" s="53">
        <f t="shared" si="1"/>
        <v>2581.9565299999999</v>
      </c>
    </row>
    <row r="57" spans="1:15" ht="25.5" x14ac:dyDescent="0.25">
      <c r="A57" s="55">
        <v>51</v>
      </c>
      <c r="B57" s="7" t="s">
        <v>64</v>
      </c>
      <c r="C57" s="55">
        <v>14.9</v>
      </c>
      <c r="D57" s="53">
        <v>23823.9</v>
      </c>
      <c r="E57" s="53">
        <v>33808.400000000001</v>
      </c>
      <c r="F57" s="53">
        <f t="shared" si="3"/>
        <v>1.4190959498654712</v>
      </c>
      <c r="G57" s="53">
        <v>3861.7777700000001</v>
      </c>
      <c r="H57" s="53">
        <v>0</v>
      </c>
      <c r="I57" s="53">
        <v>412.95285000000001</v>
      </c>
      <c r="J57" s="53">
        <f>SUM(G57:I57)</f>
        <v>4274.7306200000003</v>
      </c>
      <c r="K57" s="53">
        <f>J57/'Форма 1'!R58</f>
        <v>0.49220970562490618</v>
      </c>
      <c r="L57" s="53">
        <v>1165.9672499999999</v>
      </c>
      <c r="M57" s="53">
        <v>0</v>
      </c>
      <c r="N57" s="53">
        <v>124.7123</v>
      </c>
      <c r="O57" s="53">
        <f t="shared" si="1"/>
        <v>1290.6795499999998</v>
      </c>
    </row>
    <row r="58" spans="1:15" ht="25.5" x14ac:dyDescent="0.25">
      <c r="A58" s="55">
        <v>52</v>
      </c>
      <c r="B58" s="7" t="s">
        <v>65</v>
      </c>
      <c r="C58" s="55">
        <v>33</v>
      </c>
      <c r="D58" s="53">
        <v>16889.400000000001</v>
      </c>
      <c r="E58" s="53">
        <v>29591.7</v>
      </c>
      <c r="F58" s="53">
        <f t="shared" si="3"/>
        <v>1.7520871078901559</v>
      </c>
      <c r="G58" s="53">
        <v>6326.4498299999996</v>
      </c>
      <c r="H58" s="53">
        <v>0</v>
      </c>
      <c r="I58" s="53">
        <v>388.17558000000002</v>
      </c>
      <c r="J58" s="53">
        <f>SUM(G58:I58)</f>
        <v>6714.6254099999996</v>
      </c>
      <c r="K58" s="53">
        <f>J58/'Форма 1'!R59</f>
        <v>0.53141889171387879</v>
      </c>
      <c r="L58" s="53">
        <v>1914.2818199999999</v>
      </c>
      <c r="M58" s="53">
        <v>0</v>
      </c>
      <c r="N58" s="53">
        <v>117.25315999999999</v>
      </c>
      <c r="O58" s="53">
        <f t="shared" si="1"/>
        <v>2031.5349799999999</v>
      </c>
    </row>
    <row r="59" spans="1:15" x14ac:dyDescent="0.25">
      <c r="A59" s="55">
        <v>53</v>
      </c>
      <c r="B59" s="7" t="s">
        <v>66</v>
      </c>
      <c r="C59" s="55">
        <v>43</v>
      </c>
      <c r="D59" s="53">
        <v>19638.8</v>
      </c>
      <c r="E59" s="53">
        <v>46258.400000000001</v>
      </c>
      <c r="F59" s="53">
        <f t="shared" si="3"/>
        <v>2.3554596003829156</v>
      </c>
      <c r="G59" s="53">
        <v>8981.6704699999991</v>
      </c>
      <c r="H59" s="53">
        <v>0</v>
      </c>
      <c r="I59" s="53">
        <v>1041.66256</v>
      </c>
      <c r="J59" s="53">
        <f t="shared" ref="J59:J70" si="8">SUM(G59:I59)</f>
        <v>10023.33303</v>
      </c>
      <c r="K59" s="53">
        <f>J59/'Форма 1'!R60</f>
        <v>0.58625613105612984</v>
      </c>
      <c r="L59" s="53">
        <v>2701.7719699999998</v>
      </c>
      <c r="M59" s="53">
        <v>0</v>
      </c>
      <c r="N59" s="53">
        <v>314.43340999999998</v>
      </c>
      <c r="O59" s="53">
        <f>SUM(L59:N59)</f>
        <v>3016.2053799999999</v>
      </c>
    </row>
    <row r="60" spans="1:15" x14ac:dyDescent="0.25">
      <c r="A60" s="55">
        <v>54</v>
      </c>
      <c r="B60" s="7" t="s">
        <v>67</v>
      </c>
      <c r="C60" s="55">
        <v>25.6</v>
      </c>
      <c r="D60" s="53">
        <v>18024.8</v>
      </c>
      <c r="E60" s="53">
        <v>37850</v>
      </c>
      <c r="F60" s="53">
        <f t="shared" si="3"/>
        <v>2.0998846034352669</v>
      </c>
      <c r="G60" s="53">
        <v>4775.1107099999999</v>
      </c>
      <c r="H60" s="53">
        <v>0</v>
      </c>
      <c r="I60" s="53">
        <v>510.67885000000001</v>
      </c>
      <c r="J60" s="53">
        <f t="shared" si="8"/>
        <v>5285.7895600000002</v>
      </c>
      <c r="K60" s="53">
        <f>J60/'Форма 1'!R61</f>
        <v>0.58555378422607296</v>
      </c>
      <c r="L60" s="53">
        <v>1446.07853</v>
      </c>
      <c r="M60" s="53">
        <v>0</v>
      </c>
      <c r="N60" s="53">
        <v>154.25418999999999</v>
      </c>
      <c r="O60" s="53">
        <f t="shared" si="1"/>
        <v>1600.3327199999999</v>
      </c>
    </row>
    <row r="61" spans="1:15" x14ac:dyDescent="0.25">
      <c r="A61" s="55">
        <v>55</v>
      </c>
      <c r="B61" s="7" t="s">
        <v>68</v>
      </c>
      <c r="C61" s="55">
        <v>34.200000000000003</v>
      </c>
      <c r="D61" s="53">
        <v>22629.9</v>
      </c>
      <c r="E61" s="53">
        <v>37050</v>
      </c>
      <c r="F61" s="53">
        <f t="shared" si="3"/>
        <v>1.6372144817255045</v>
      </c>
      <c r="G61" s="53">
        <v>8175.5681800000002</v>
      </c>
      <c r="H61" s="53">
        <v>0</v>
      </c>
      <c r="I61" s="53">
        <v>867.60194000000001</v>
      </c>
      <c r="J61" s="53">
        <f t="shared" si="8"/>
        <v>9043.1701200000007</v>
      </c>
      <c r="K61" s="53">
        <f>J61/'Форма 1'!R62</f>
        <v>0.59974189008582168</v>
      </c>
      <c r="L61" s="53">
        <v>2378.79432</v>
      </c>
      <c r="M61" s="53">
        <v>0</v>
      </c>
      <c r="N61" s="53">
        <v>260.49275</v>
      </c>
      <c r="O61" s="53">
        <f t="shared" si="1"/>
        <v>2639.2870699999999</v>
      </c>
    </row>
    <row r="62" spans="1:15" x14ac:dyDescent="0.25">
      <c r="A62" s="55">
        <v>56</v>
      </c>
      <c r="B62" s="7" t="s">
        <v>69</v>
      </c>
      <c r="C62" s="55">
        <v>48.7</v>
      </c>
      <c r="D62" s="53">
        <v>18236.7</v>
      </c>
      <c r="E62" s="53">
        <v>31025</v>
      </c>
      <c r="F62" s="53">
        <f t="shared" si="3"/>
        <v>1.7012398076406368</v>
      </c>
      <c r="G62" s="53">
        <v>9555.2608700000001</v>
      </c>
      <c r="H62" s="53">
        <v>0</v>
      </c>
      <c r="I62" s="53">
        <v>983.65443000000005</v>
      </c>
      <c r="J62" s="53">
        <f t="shared" si="8"/>
        <v>10538.915300000001</v>
      </c>
      <c r="K62" s="53">
        <f>J62/'Форма 1'!R63</f>
        <v>0.52062926069116167</v>
      </c>
      <c r="L62" s="53">
        <v>2865.7197299999998</v>
      </c>
      <c r="M62" s="53">
        <v>0</v>
      </c>
      <c r="N62" s="53">
        <v>296.37056999999999</v>
      </c>
      <c r="O62" s="53">
        <f t="shared" si="1"/>
        <v>3162.0902999999998</v>
      </c>
    </row>
    <row r="63" spans="1:15" x14ac:dyDescent="0.25">
      <c r="A63" s="55">
        <v>57</v>
      </c>
      <c r="B63" s="7" t="s">
        <v>70</v>
      </c>
      <c r="C63" s="55">
        <v>37.5</v>
      </c>
      <c r="D63" s="53">
        <v>18136.3</v>
      </c>
      <c r="E63" s="53">
        <v>35208.400000000001</v>
      </c>
      <c r="F63" s="53">
        <f t="shared" si="3"/>
        <v>1.9413220998770424</v>
      </c>
      <c r="G63" s="53">
        <v>7529.4142499999998</v>
      </c>
      <c r="H63" s="53">
        <v>0</v>
      </c>
      <c r="I63" s="53">
        <v>695.43336999999997</v>
      </c>
      <c r="J63" s="53">
        <f t="shared" si="8"/>
        <v>8224.8476200000005</v>
      </c>
      <c r="K63" s="53">
        <f>J63/'Форма 1'!R64</f>
        <v>0.46272093400046577</v>
      </c>
      <c r="L63" s="53">
        <v>2259.5901100000001</v>
      </c>
      <c r="M63" s="53">
        <v>0</v>
      </c>
      <c r="N63" s="53">
        <v>209.76455000000001</v>
      </c>
      <c r="O63" s="53">
        <f t="shared" si="1"/>
        <v>2469.35466</v>
      </c>
    </row>
    <row r="64" spans="1:15" x14ac:dyDescent="0.25">
      <c r="A64" s="55">
        <v>58</v>
      </c>
      <c r="B64" s="7" t="s">
        <v>71</v>
      </c>
      <c r="C64" s="55">
        <v>28</v>
      </c>
      <c r="D64" s="53">
        <v>24299.7</v>
      </c>
      <c r="E64" s="53">
        <v>43366.7</v>
      </c>
      <c r="F64" s="53">
        <f t="shared" si="3"/>
        <v>1.7846598929204887</v>
      </c>
      <c r="G64" s="53">
        <v>7458.9114900000004</v>
      </c>
      <c r="H64" s="53">
        <v>0</v>
      </c>
      <c r="I64" s="53">
        <v>643.11013000000003</v>
      </c>
      <c r="J64" s="53">
        <f t="shared" si="8"/>
        <v>8102.0216200000004</v>
      </c>
      <c r="K64" s="53">
        <f>J64/'Форма 1'!R65</f>
        <v>0.47044320668946393</v>
      </c>
      <c r="L64" s="53">
        <v>2232.64741</v>
      </c>
      <c r="M64" s="53">
        <v>0</v>
      </c>
      <c r="N64" s="53">
        <v>193.90441999999999</v>
      </c>
      <c r="O64" s="53">
        <f t="shared" si="1"/>
        <v>2426.5518299999999</v>
      </c>
    </row>
    <row r="65" spans="1:15" x14ac:dyDescent="0.25">
      <c r="A65" s="55">
        <v>59</v>
      </c>
      <c r="B65" s="7" t="s">
        <v>72</v>
      </c>
      <c r="C65" s="55">
        <v>19</v>
      </c>
      <c r="D65" s="53">
        <v>16500.900000000001</v>
      </c>
      <c r="E65" s="53">
        <v>34408.400000000001</v>
      </c>
      <c r="F65" s="53">
        <f t="shared" si="3"/>
        <v>2.0852438351847473</v>
      </c>
      <c r="G65" s="53">
        <v>3503.99764</v>
      </c>
      <c r="H65" s="53">
        <v>0</v>
      </c>
      <c r="I65" s="53">
        <v>283.59136000000001</v>
      </c>
      <c r="J65" s="53">
        <f t="shared" si="8"/>
        <v>3787.5889999999999</v>
      </c>
      <c r="K65" s="53">
        <f>J65/'Форма 1'!R66</f>
        <v>0.52278612438835892</v>
      </c>
      <c r="L65" s="53">
        <v>1063.60384</v>
      </c>
      <c r="M65" s="53">
        <v>0</v>
      </c>
      <c r="N65" s="53">
        <v>85.651889999999995</v>
      </c>
      <c r="O65" s="53">
        <f t="shared" si="1"/>
        <v>1149.2557300000001</v>
      </c>
    </row>
    <row r="66" spans="1:15" x14ac:dyDescent="0.25">
      <c r="A66" s="55">
        <v>60</v>
      </c>
      <c r="B66" s="7" t="s">
        <v>73</v>
      </c>
      <c r="C66" s="55">
        <v>19.3</v>
      </c>
      <c r="D66" s="53">
        <v>18454.7</v>
      </c>
      <c r="E66" s="53">
        <v>19316.7</v>
      </c>
      <c r="F66" s="53">
        <f t="shared" si="3"/>
        <v>1.0467089684470623</v>
      </c>
      <c r="G66" s="53">
        <v>3720.4099000000001</v>
      </c>
      <c r="H66" s="53">
        <v>0</v>
      </c>
      <c r="I66" s="53">
        <v>474.75785000000002</v>
      </c>
      <c r="J66" s="53">
        <f t="shared" si="8"/>
        <v>4195.1677500000005</v>
      </c>
      <c r="K66" s="53">
        <f>J66/'Форма 1'!R67</f>
        <v>0.56192161691466513</v>
      </c>
      <c r="L66" s="53">
        <v>1122.13778</v>
      </c>
      <c r="M66" s="53">
        <v>0</v>
      </c>
      <c r="N66" s="53">
        <v>143.33151000000001</v>
      </c>
      <c r="O66" s="53">
        <f t="shared" si="1"/>
        <v>1265.46929</v>
      </c>
    </row>
    <row r="67" spans="1:15" x14ac:dyDescent="0.25">
      <c r="A67" s="55">
        <v>61</v>
      </c>
      <c r="B67" s="7" t="s">
        <v>74</v>
      </c>
      <c r="C67" s="55">
        <v>10.8</v>
      </c>
      <c r="D67" s="53">
        <v>17535.5</v>
      </c>
      <c r="E67" s="53">
        <v>34700</v>
      </c>
      <c r="F67" s="53">
        <f t="shared" si="3"/>
        <v>1.978842918650737</v>
      </c>
      <c r="G67" s="53">
        <v>1601.70463</v>
      </c>
      <c r="H67" s="53">
        <v>0</v>
      </c>
      <c r="I67" s="53">
        <v>673.85688000000005</v>
      </c>
      <c r="J67" s="53">
        <f t="shared" si="8"/>
        <v>2275.56151</v>
      </c>
      <c r="K67" s="53">
        <f>J67/'Форма 1'!R68</f>
        <v>0.74031692932529281</v>
      </c>
      <c r="L67" s="53">
        <v>484.67925000000002</v>
      </c>
      <c r="M67" s="53">
        <v>0</v>
      </c>
      <c r="N67" s="53">
        <v>203.50479999999999</v>
      </c>
      <c r="O67" s="53">
        <f t="shared" si="1"/>
        <v>688.18405000000007</v>
      </c>
    </row>
    <row r="68" spans="1:15" x14ac:dyDescent="0.25">
      <c r="A68" s="55">
        <v>62</v>
      </c>
      <c r="B68" s="7" t="s">
        <v>75</v>
      </c>
      <c r="C68" s="55">
        <v>13.5</v>
      </c>
      <c r="D68" s="53">
        <v>19241.400000000001</v>
      </c>
      <c r="E68" s="53">
        <v>39841.699999999997</v>
      </c>
      <c r="F68" s="53">
        <f t="shared" si="3"/>
        <v>2.0706237591859216</v>
      </c>
      <c r="G68" s="53">
        <v>2224.42706</v>
      </c>
      <c r="H68" s="53">
        <v>0</v>
      </c>
      <c r="I68" s="53">
        <v>897.20156999999995</v>
      </c>
      <c r="J68" s="53">
        <f t="shared" si="8"/>
        <v>3121.6286300000002</v>
      </c>
      <c r="K68" s="53">
        <f>J68/'Форма 1'!R69</f>
        <v>0.76241438761621394</v>
      </c>
      <c r="L68" s="53">
        <v>670.46843000000001</v>
      </c>
      <c r="M68" s="53">
        <v>0</v>
      </c>
      <c r="N68" s="53">
        <v>270.89632999999998</v>
      </c>
      <c r="O68" s="53">
        <f t="shared" si="1"/>
        <v>941.36475999999993</v>
      </c>
    </row>
    <row r="69" spans="1:15" x14ac:dyDescent="0.25">
      <c r="A69" s="55">
        <v>63</v>
      </c>
      <c r="B69" s="7" t="s">
        <v>76</v>
      </c>
      <c r="C69" s="55">
        <v>20.399999999999999</v>
      </c>
      <c r="D69" s="53">
        <v>15580.9</v>
      </c>
      <c r="E69" s="53">
        <v>35891.699999999997</v>
      </c>
      <c r="F69" s="53">
        <f t="shared" si="3"/>
        <v>2.3035703970887433</v>
      </c>
      <c r="G69" s="53">
        <v>2713.6419999999998</v>
      </c>
      <c r="H69" s="53">
        <v>0</v>
      </c>
      <c r="I69" s="53">
        <v>1103.3238200000001</v>
      </c>
      <c r="J69" s="53">
        <f t="shared" si="8"/>
        <v>3816.9658199999999</v>
      </c>
      <c r="K69" s="53">
        <f>J69/'Форма 1'!R70</f>
        <v>0.72521184801954297</v>
      </c>
      <c r="L69" s="53">
        <v>818.68809999999996</v>
      </c>
      <c r="M69" s="53">
        <v>0</v>
      </c>
      <c r="N69" s="53">
        <v>333.19868000000002</v>
      </c>
      <c r="O69" s="53">
        <f t="shared" si="1"/>
        <v>1151.88678</v>
      </c>
    </row>
    <row r="70" spans="1:15" x14ac:dyDescent="0.25">
      <c r="A70" s="55">
        <v>64</v>
      </c>
      <c r="B70" s="7" t="s">
        <v>77</v>
      </c>
      <c r="C70" s="55">
        <v>11.2</v>
      </c>
      <c r="D70" s="53">
        <v>15257.5</v>
      </c>
      <c r="E70" s="53">
        <v>34041.699999999997</v>
      </c>
      <c r="F70" s="53">
        <f t="shared" si="3"/>
        <v>2.2311453383581843</v>
      </c>
      <c r="G70" s="53">
        <v>1574.3219999999999</v>
      </c>
      <c r="H70" s="53">
        <v>0</v>
      </c>
      <c r="I70" s="53">
        <v>476.36917999999997</v>
      </c>
      <c r="J70" s="53">
        <f t="shared" si="8"/>
        <v>2050.6911799999998</v>
      </c>
      <c r="K70" s="53">
        <f>J70/'Форма 1'!R71</f>
        <v>0.71463595008492964</v>
      </c>
      <c r="L70" s="53">
        <v>475.44535000000002</v>
      </c>
      <c r="M70" s="53">
        <v>0</v>
      </c>
      <c r="N70" s="53">
        <v>143.86344</v>
      </c>
      <c r="O70" s="53">
        <f t="shared" si="1"/>
        <v>619.30879000000004</v>
      </c>
    </row>
    <row r="71" spans="1:15" x14ac:dyDescent="0.25">
      <c r="A71" s="55">
        <v>65</v>
      </c>
      <c r="B71" s="7" t="s">
        <v>78</v>
      </c>
      <c r="C71" s="55">
        <v>20.2</v>
      </c>
      <c r="D71" s="53">
        <v>12393.2</v>
      </c>
      <c r="E71" s="53">
        <v>30416.7</v>
      </c>
      <c r="F71" s="53">
        <f t="shared" si="3"/>
        <v>2.4543055869347707</v>
      </c>
      <c r="G71" s="53">
        <v>2302.2924200000002</v>
      </c>
      <c r="H71" s="53">
        <v>0</v>
      </c>
      <c r="I71" s="53">
        <v>701.90860999999995</v>
      </c>
      <c r="J71" s="53">
        <f>SUM(G71:I71)</f>
        <v>3004.2010300000002</v>
      </c>
      <c r="K71" s="53">
        <f>J71/'Форма 1'!R72</f>
        <v>0.73384781530683196</v>
      </c>
      <c r="L71" s="53">
        <v>694.31200000000001</v>
      </c>
      <c r="M71" s="53">
        <v>0</v>
      </c>
      <c r="N71" s="53">
        <v>211.94511</v>
      </c>
      <c r="O71" s="53">
        <f t="shared" si="1"/>
        <v>906.25711000000001</v>
      </c>
    </row>
    <row r="72" spans="1:15" ht="25.5" x14ac:dyDescent="0.25">
      <c r="A72" s="55">
        <v>66</v>
      </c>
      <c r="B72" s="7" t="s">
        <v>79</v>
      </c>
      <c r="C72" s="55">
        <v>5.5</v>
      </c>
      <c r="D72" s="53">
        <v>16125.8</v>
      </c>
      <c r="E72" s="53">
        <v>30875</v>
      </c>
      <c r="F72" s="53">
        <f t="shared" si="3"/>
        <v>1.9146336925919956</v>
      </c>
      <c r="G72" s="53">
        <v>819.89800000000002</v>
      </c>
      <c r="H72" s="53">
        <v>0</v>
      </c>
      <c r="I72" s="53">
        <v>247.84778</v>
      </c>
      <c r="J72" s="53">
        <f>SUM(G72:I72)</f>
        <v>1067.74578</v>
      </c>
      <c r="K72" s="53">
        <f>J72/'Форма 1'!R73</f>
        <v>0.75947613373359568</v>
      </c>
      <c r="L72" s="53">
        <v>246.60084000000001</v>
      </c>
      <c r="M72" s="53">
        <v>0</v>
      </c>
      <c r="N72" s="53">
        <v>74.849959999999996</v>
      </c>
      <c r="O72" s="53">
        <f t="shared" ref="O72:O74" si="9">SUM(L72:N72)</f>
        <v>321.45080000000002</v>
      </c>
    </row>
    <row r="73" spans="1:15" x14ac:dyDescent="0.25">
      <c r="A73" s="55">
        <v>67</v>
      </c>
      <c r="B73" s="7" t="s">
        <v>80</v>
      </c>
      <c r="C73" s="55">
        <v>16.8</v>
      </c>
      <c r="D73" s="53">
        <v>17452.400000000001</v>
      </c>
      <c r="E73" s="53">
        <v>29441.7</v>
      </c>
      <c r="F73" s="53">
        <f t="shared" si="3"/>
        <v>1.6869714194036349</v>
      </c>
      <c r="G73" s="53">
        <v>2200.98</v>
      </c>
      <c r="H73" s="53">
        <v>0</v>
      </c>
      <c r="I73" s="53">
        <v>1351.96378</v>
      </c>
      <c r="J73" s="53">
        <f>SUM(G73:I73)</f>
        <v>3552.9437800000001</v>
      </c>
      <c r="K73" s="53">
        <f>J73/'Форма 1'!R74</f>
        <v>0.54091878545012384</v>
      </c>
      <c r="L73" s="53">
        <v>661.96415999999999</v>
      </c>
      <c r="M73" s="53">
        <v>0</v>
      </c>
      <c r="N73" s="53">
        <v>408.29298999999997</v>
      </c>
      <c r="O73" s="53">
        <f t="shared" si="9"/>
        <v>1070.2571499999999</v>
      </c>
    </row>
    <row r="74" spans="1:15" ht="25.5" x14ac:dyDescent="0.25">
      <c r="A74" s="55">
        <v>68</v>
      </c>
      <c r="B74" s="7" t="s">
        <v>81</v>
      </c>
      <c r="C74" s="55">
        <v>11.8</v>
      </c>
      <c r="D74" s="53">
        <v>18711.900000000001</v>
      </c>
      <c r="E74" s="53">
        <v>33666.699999999997</v>
      </c>
      <c r="F74" s="53">
        <f>E74/D74</f>
        <v>1.799213334829707</v>
      </c>
      <c r="G74" s="53">
        <v>1572.412</v>
      </c>
      <c r="H74" s="53">
        <v>0</v>
      </c>
      <c r="I74" s="53">
        <v>1079.9049</v>
      </c>
      <c r="J74" s="53">
        <f>SUM(G74:I74)</f>
        <v>2652.3168999999998</v>
      </c>
      <c r="K74" s="53">
        <f>J74/'Форма 1'!R75</f>
        <v>0.73626590795998048</v>
      </c>
      <c r="L74" s="53">
        <v>472.56040000000002</v>
      </c>
      <c r="M74" s="53">
        <v>0</v>
      </c>
      <c r="N74" s="53">
        <v>326.61403999999999</v>
      </c>
      <c r="O74" s="53">
        <f t="shared" si="9"/>
        <v>799.17444</v>
      </c>
    </row>
    <row r="75" spans="1:15" x14ac:dyDescent="0.25">
      <c r="A75" s="55">
        <v>69</v>
      </c>
      <c r="B75" s="7" t="s">
        <v>82</v>
      </c>
      <c r="C75" s="55">
        <v>5.6</v>
      </c>
      <c r="D75" s="53">
        <v>18184.599999999999</v>
      </c>
      <c r="E75" s="53">
        <v>24100</v>
      </c>
      <c r="F75" s="53">
        <f>E75/D75</f>
        <v>1.325297229523883</v>
      </c>
      <c r="G75" s="53">
        <v>867.09042999999997</v>
      </c>
      <c r="H75" s="53">
        <v>0</v>
      </c>
      <c r="I75" s="53">
        <v>359.90409</v>
      </c>
      <c r="J75" s="53">
        <f t="shared" ref="J75" si="10">SUM(G75:I75)</f>
        <v>1226.99452</v>
      </c>
      <c r="K75" s="53">
        <f>J75/'Форма 1'!R76</f>
        <v>0.72293062276621101</v>
      </c>
      <c r="L75" s="53">
        <v>260.35494999999997</v>
      </c>
      <c r="M75" s="53">
        <v>0</v>
      </c>
      <c r="N75" s="53">
        <v>108.64663</v>
      </c>
      <c r="O75" s="53">
        <f>SUM(L75:N75)</f>
        <v>369.00157999999999</v>
      </c>
    </row>
    <row r="76" spans="1:15" ht="51" x14ac:dyDescent="0.25">
      <c r="A76" s="55">
        <v>70</v>
      </c>
      <c r="B76" s="20" t="s">
        <v>155</v>
      </c>
      <c r="C76" s="68">
        <v>11</v>
      </c>
      <c r="D76" s="69">
        <v>17480</v>
      </c>
      <c r="E76" s="70">
        <v>40635</v>
      </c>
      <c r="F76" s="69">
        <f>E76/D76</f>
        <v>2.3246567505720823</v>
      </c>
      <c r="G76" s="53">
        <v>2701.431</v>
      </c>
      <c r="H76" s="53">
        <v>0</v>
      </c>
      <c r="I76" s="53">
        <v>0</v>
      </c>
      <c r="J76" s="53">
        <f>SUM(G76:I76)</f>
        <v>2701.431</v>
      </c>
      <c r="K76" s="53">
        <f>J76/'Форма 1'!R77</f>
        <v>0.54207102305049604</v>
      </c>
      <c r="L76" s="39">
        <v>816.30600000000004</v>
      </c>
      <c r="M76" s="53">
        <v>0</v>
      </c>
      <c r="N76" s="53">
        <f>I76*0.302</f>
        <v>0</v>
      </c>
      <c r="O76" s="53">
        <f>SUM(L76:N76)</f>
        <v>816.30600000000004</v>
      </c>
    </row>
    <row r="77" spans="1:15" ht="38.25" x14ac:dyDescent="0.25">
      <c r="A77" s="55">
        <v>71</v>
      </c>
      <c r="B77" s="20" t="s">
        <v>156</v>
      </c>
      <c r="C77" s="68">
        <v>7.4</v>
      </c>
      <c r="D77" s="69">
        <v>18211.7</v>
      </c>
      <c r="E77" s="70">
        <v>46066.7</v>
      </c>
      <c r="F77" s="69">
        <f t="shared" ref="F77:F86" si="11">E77/D77</f>
        <v>2.5295112482634785</v>
      </c>
      <c r="G77" s="71">
        <v>2225.8000000000002</v>
      </c>
      <c r="H77" s="71">
        <v>0</v>
      </c>
      <c r="I77" s="71">
        <v>243.1</v>
      </c>
      <c r="J77" s="71">
        <f>SUM(G77:I77)</f>
        <v>2468.9</v>
      </c>
      <c r="K77" s="53">
        <f>J77/'Форма 1'!R78</f>
        <v>0.62427935673106094</v>
      </c>
      <c r="L77" s="48">
        <v>671.9</v>
      </c>
      <c r="M77" s="71">
        <v>73.400000000000006</v>
      </c>
      <c r="N77" s="53">
        <f>I77*0.302</f>
        <v>73.416199999999989</v>
      </c>
      <c r="O77" s="71">
        <f>SUM(L77:N77)</f>
        <v>818.71619999999996</v>
      </c>
    </row>
    <row r="78" spans="1:15" ht="38.25" x14ac:dyDescent="0.25">
      <c r="A78" s="55">
        <v>72</v>
      </c>
      <c r="B78" s="20" t="s">
        <v>157</v>
      </c>
      <c r="C78" s="68">
        <v>14.2</v>
      </c>
      <c r="D78" s="69">
        <v>16402</v>
      </c>
      <c r="E78" s="70">
        <v>28808.33</v>
      </c>
      <c r="F78" s="69">
        <f>E78/D78</f>
        <v>1.7563912937446653</v>
      </c>
      <c r="G78" s="69">
        <v>2543</v>
      </c>
      <c r="H78" s="53">
        <v>0</v>
      </c>
      <c r="I78" s="53">
        <v>0</v>
      </c>
      <c r="J78" s="53">
        <f t="shared" ref="J78:J79" si="12">SUM(G78:I78)</f>
        <v>2543</v>
      </c>
      <c r="K78" s="53">
        <f>J78/'Форма 1'!R79</f>
        <v>0.57318667448045801</v>
      </c>
      <c r="L78" s="39">
        <v>672</v>
      </c>
      <c r="M78" s="53">
        <v>0</v>
      </c>
      <c r="N78" s="53">
        <f>I78*0.302</f>
        <v>0</v>
      </c>
      <c r="O78" s="53">
        <f t="shared" ref="O78:O79" si="13">SUM(L78:N78)</f>
        <v>672</v>
      </c>
    </row>
    <row r="79" spans="1:15" ht="38.25" x14ac:dyDescent="0.25">
      <c r="A79" s="55">
        <v>73</v>
      </c>
      <c r="B79" s="20" t="s">
        <v>158</v>
      </c>
      <c r="C79" s="68">
        <v>14.2</v>
      </c>
      <c r="D79" s="69">
        <v>17865.599999999999</v>
      </c>
      <c r="E79" s="70">
        <v>54250</v>
      </c>
      <c r="F79" s="69">
        <f t="shared" si="11"/>
        <v>3.0365618842915998</v>
      </c>
      <c r="G79" s="53">
        <f>2925.4+866.8</f>
        <v>3792.2</v>
      </c>
      <c r="H79" s="53">
        <v>0</v>
      </c>
      <c r="I79" s="53">
        <f>277.7+83.9+67.9+20.5+120.2+36.3</f>
        <v>606.5</v>
      </c>
      <c r="J79" s="53">
        <f t="shared" si="12"/>
        <v>4398.7</v>
      </c>
      <c r="K79" s="53">
        <f>J79/'Форма 1'!R80</f>
        <v>0.85529565031402499</v>
      </c>
      <c r="L79" s="39">
        <f>G79*0.302</f>
        <v>1145.2443999999998</v>
      </c>
      <c r="M79" s="53">
        <f t="shared" ref="M79:N80" si="14">H79*0.302</f>
        <v>0</v>
      </c>
      <c r="N79" s="53">
        <f t="shared" si="14"/>
        <v>183.16299999999998</v>
      </c>
      <c r="O79" s="53">
        <f t="shared" si="13"/>
        <v>1328.4073999999998</v>
      </c>
    </row>
    <row r="80" spans="1:15" ht="38.25" x14ac:dyDescent="0.25">
      <c r="A80" s="55">
        <v>74</v>
      </c>
      <c r="B80" s="20" t="s">
        <v>159</v>
      </c>
      <c r="C80" s="68">
        <v>22.5</v>
      </c>
      <c r="D80" s="69">
        <v>15075.6</v>
      </c>
      <c r="E80" s="70">
        <v>32291</v>
      </c>
      <c r="F80" s="69">
        <f t="shared" si="11"/>
        <v>2.1419379659847699</v>
      </c>
      <c r="G80" s="71">
        <v>5510.6</v>
      </c>
      <c r="H80" s="71">
        <v>0</v>
      </c>
      <c r="I80" s="71">
        <v>849.4</v>
      </c>
      <c r="J80" s="71">
        <f>SUM(G80:I80)</f>
        <v>6360</v>
      </c>
      <c r="K80" s="53">
        <f>J80/'Форма 1'!R81</f>
        <v>0.86299306620350902</v>
      </c>
      <c r="L80" s="39">
        <f>G80*0.302</f>
        <v>1664.2012</v>
      </c>
      <c r="M80" s="53">
        <f t="shared" si="14"/>
        <v>0</v>
      </c>
      <c r="N80" s="53">
        <f t="shared" si="14"/>
        <v>256.5188</v>
      </c>
      <c r="O80" s="71">
        <f>SUM(L80:N80)</f>
        <v>1920.72</v>
      </c>
    </row>
    <row r="81" spans="1:15" s="25" customFormat="1" x14ac:dyDescent="0.25">
      <c r="A81" s="55"/>
      <c r="B81" s="20"/>
      <c r="C81" s="68"/>
      <c r="D81" s="69"/>
      <c r="E81" s="70"/>
      <c r="F81" s="69"/>
      <c r="G81" s="71"/>
      <c r="H81" s="71"/>
      <c r="I81" s="71"/>
      <c r="J81" s="71"/>
      <c r="K81" s="53"/>
      <c r="L81" s="39"/>
      <c r="M81" s="53"/>
      <c r="N81" s="53"/>
      <c r="O81" s="71"/>
    </row>
    <row r="82" spans="1:15" s="25" customFormat="1" x14ac:dyDescent="0.25">
      <c r="A82" s="55">
        <v>75</v>
      </c>
      <c r="B82" s="7" t="s">
        <v>163</v>
      </c>
      <c r="C82" s="55">
        <v>9</v>
      </c>
      <c r="D82" s="53">
        <v>3937.3</v>
      </c>
      <c r="E82" s="53">
        <v>24547.45</v>
      </c>
      <c r="F82" s="69">
        <f t="shared" si="11"/>
        <v>6.2345896934447467</v>
      </c>
      <c r="G82" s="53">
        <v>673.82177999999999</v>
      </c>
      <c r="H82" s="53">
        <v>45.975999999999999</v>
      </c>
      <c r="I82" s="53">
        <v>0</v>
      </c>
      <c r="J82" s="53">
        <f>SUM(G82:I82)</f>
        <v>719.79777999999999</v>
      </c>
      <c r="K82" s="53">
        <f>J82/'Форма 1'!R82</f>
        <v>8.2837960399523486E-2</v>
      </c>
      <c r="L82" s="53">
        <v>155.65307000000001</v>
      </c>
      <c r="M82" s="53">
        <v>10.620480000000001</v>
      </c>
      <c r="N82" s="53">
        <v>0</v>
      </c>
      <c r="O82" s="53">
        <f>SUM(L82:N82)</f>
        <v>166.27355</v>
      </c>
    </row>
    <row r="83" spans="1:15" s="25" customFormat="1" x14ac:dyDescent="0.25">
      <c r="A83" s="55">
        <v>76</v>
      </c>
      <c r="B83" s="57" t="s">
        <v>169</v>
      </c>
      <c r="C83" s="55">
        <v>414.5</v>
      </c>
      <c r="D83" s="53">
        <v>19613</v>
      </c>
      <c r="E83" s="53">
        <v>50450</v>
      </c>
      <c r="F83" s="69">
        <f t="shared" si="11"/>
        <v>2.5722734920715853</v>
      </c>
      <c r="G83" s="53">
        <v>9436.7000000000007</v>
      </c>
      <c r="H83" s="53">
        <v>1686.7</v>
      </c>
      <c r="I83" s="53">
        <v>86432.6</v>
      </c>
      <c r="J83" s="53">
        <f t="shared" ref="J83:J85" si="15">SUM(G83:I83)</f>
        <v>97556</v>
      </c>
      <c r="K83" s="53">
        <f>J83/'Форма 1'!R83</f>
        <v>0.53669107255143911</v>
      </c>
      <c r="L83" s="53">
        <v>2849.9</v>
      </c>
      <c r="M83" s="53">
        <v>509.4</v>
      </c>
      <c r="N83" s="53">
        <v>26102.7</v>
      </c>
      <c r="O83" s="53">
        <f t="shared" ref="O83:O86" si="16">SUM(L83:N83)</f>
        <v>29462</v>
      </c>
    </row>
    <row r="84" spans="1:15" s="25" customFormat="1" x14ac:dyDescent="0.25">
      <c r="A84" s="55">
        <v>77</v>
      </c>
      <c r="B84" s="58" t="s">
        <v>171</v>
      </c>
      <c r="C84" s="55">
        <v>73</v>
      </c>
      <c r="D84" s="53">
        <v>19216</v>
      </c>
      <c r="E84" s="53">
        <v>32785</v>
      </c>
      <c r="F84" s="69">
        <f t="shared" si="11"/>
        <v>1.7061303080766028</v>
      </c>
      <c r="G84" s="53">
        <v>2344</v>
      </c>
      <c r="H84" s="53">
        <v>104</v>
      </c>
      <c r="I84" s="53">
        <v>15716</v>
      </c>
      <c r="J84" s="53">
        <f t="shared" si="15"/>
        <v>18164</v>
      </c>
      <c r="K84" s="53">
        <f>J84/'Форма 1'!R84</f>
        <v>0.7138197451878866</v>
      </c>
      <c r="L84" s="53">
        <v>704</v>
      </c>
      <c r="M84" s="53">
        <v>29.8</v>
      </c>
      <c r="N84" s="53">
        <v>4735</v>
      </c>
      <c r="O84" s="53">
        <f t="shared" si="16"/>
        <v>5468.8</v>
      </c>
    </row>
    <row r="85" spans="1:15" s="25" customFormat="1" x14ac:dyDescent="0.25">
      <c r="A85" s="55">
        <v>78</v>
      </c>
      <c r="B85" s="58" t="s">
        <v>173</v>
      </c>
      <c r="C85" s="55">
        <v>187</v>
      </c>
      <c r="D85" s="53">
        <v>19430.7</v>
      </c>
      <c r="E85" s="53">
        <v>50850</v>
      </c>
      <c r="F85" s="69">
        <f t="shared" si="11"/>
        <v>2.6169926971236239</v>
      </c>
      <c r="G85" s="53">
        <v>3442.9</v>
      </c>
      <c r="H85" s="53">
        <v>282.93</v>
      </c>
      <c r="I85" s="53">
        <v>38238.730000000003</v>
      </c>
      <c r="J85" s="53">
        <f t="shared" si="15"/>
        <v>41964.560000000005</v>
      </c>
      <c r="K85" s="53">
        <f>J85/'Форма 1'!R85</f>
        <v>0.55385313057331687</v>
      </c>
      <c r="L85" s="53">
        <v>1004.99</v>
      </c>
      <c r="M85" s="53">
        <v>71.84</v>
      </c>
      <c r="N85" s="53">
        <v>11580.5</v>
      </c>
      <c r="O85" s="53">
        <f t="shared" si="16"/>
        <v>12657.33</v>
      </c>
    </row>
    <row r="86" spans="1:15" s="25" customFormat="1" ht="27.75" customHeight="1" x14ac:dyDescent="0.25">
      <c r="A86" s="55">
        <v>79</v>
      </c>
      <c r="B86" s="7" t="s">
        <v>165</v>
      </c>
      <c r="C86" s="55">
        <v>556</v>
      </c>
      <c r="D86" s="53">
        <v>20440</v>
      </c>
      <c r="E86" s="53">
        <v>89470</v>
      </c>
      <c r="F86" s="69">
        <f t="shared" si="11"/>
        <v>4.3772015655577299</v>
      </c>
      <c r="G86" s="53">
        <v>14145.7</v>
      </c>
      <c r="H86" s="53">
        <v>292.2</v>
      </c>
      <c r="I86" s="53">
        <v>133623.9</v>
      </c>
      <c r="J86" s="53">
        <f>SUM(G86:I86)</f>
        <v>148061.79999999999</v>
      </c>
      <c r="K86" s="53">
        <f>J86/'Форма 1'!R86</f>
        <v>0.52646965955897407</v>
      </c>
      <c r="L86" s="53">
        <v>4093.1</v>
      </c>
      <c r="M86" s="53">
        <v>84.6</v>
      </c>
      <c r="N86" s="53">
        <v>40145.699999999997</v>
      </c>
      <c r="O86" s="53">
        <f t="shared" si="16"/>
        <v>44323.399999999994</v>
      </c>
    </row>
    <row r="87" spans="1:15" s="27" customFormat="1" ht="14.25" x14ac:dyDescent="0.2">
      <c r="A87" s="65"/>
      <c r="B87" s="66" t="s">
        <v>164</v>
      </c>
      <c r="C87" s="72">
        <f>SUM(C7:C86)</f>
        <v>3371.2</v>
      </c>
      <c r="D87" s="73">
        <v>17854.37</v>
      </c>
      <c r="E87" s="73">
        <v>36343.42</v>
      </c>
      <c r="F87" s="73">
        <f>E87/D87</f>
        <v>2.0355475998313017</v>
      </c>
      <c r="G87" s="73">
        <f>SUM(G7:G86)</f>
        <v>442857.67458000005</v>
      </c>
      <c r="H87" s="73">
        <f>SUM(H7:H86)</f>
        <v>2665.9906599999999</v>
      </c>
      <c r="I87" s="73">
        <f>SUM(I7:I86)</f>
        <v>346239.73324999999</v>
      </c>
      <c r="J87" s="73">
        <f>SUM(J7:J86)</f>
        <v>791763.39849000005</v>
      </c>
      <c r="K87" s="74">
        <f>J87/'Форма 1'!R87</f>
        <v>0.44785132592856924</v>
      </c>
      <c r="L87" s="62">
        <f>SUM(L7:L86)</f>
        <v>132298.67439999999</v>
      </c>
      <c r="M87" s="62">
        <f>SUM(M7:M86)</f>
        <v>856.42413999999997</v>
      </c>
      <c r="N87" s="62">
        <f>SUM(N7:N86)</f>
        <v>104364.705571</v>
      </c>
      <c r="O87" s="62">
        <f>SUM(O7:O86)</f>
        <v>237519.80411100003</v>
      </c>
    </row>
  </sheetData>
  <mergeCells count="10">
    <mergeCell ref="D2:J2"/>
    <mergeCell ref="K5:K6"/>
    <mergeCell ref="L5:O5"/>
    <mergeCell ref="A5:A6"/>
    <mergeCell ref="B5:B6"/>
    <mergeCell ref="C5:C6"/>
    <mergeCell ref="D5:D6"/>
    <mergeCell ref="E5:E6"/>
    <mergeCell ref="F5:F6"/>
    <mergeCell ref="G5:J5"/>
  </mergeCells>
  <pageMargins left="0.23622047244094491" right="0.23622047244094491" top="0.74803149606299213" bottom="0.74803149606299213" header="0.31496062992125984" footer="0.31496062992125984"/>
  <pageSetup paperSize="9" scale="58" fitToHeight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86"/>
  <sheetViews>
    <sheetView zoomScale="75" zoomScaleNormal="75" workbookViewId="0">
      <pane xSplit="1" ySplit="6" topLeftCell="B7" activePane="bottomRight" state="frozen"/>
      <selection activeCell="B84" sqref="B84"/>
      <selection pane="topRight" activeCell="B84" sqref="B84"/>
      <selection pane="bottomLeft" activeCell="B84" sqref="B84"/>
      <selection pane="bottomRight" activeCell="C78" sqref="C78"/>
    </sheetView>
  </sheetViews>
  <sheetFormatPr defaultRowHeight="15" x14ac:dyDescent="0.25"/>
  <cols>
    <col min="1" max="1" width="5" style="3" bestFit="1" customWidth="1"/>
    <col min="2" max="2" width="41.85546875" style="3" customWidth="1"/>
    <col min="3" max="3" width="17.140625" style="3" customWidth="1"/>
    <col min="4" max="4" width="18.28515625" style="3" customWidth="1"/>
    <col min="5" max="5" width="10" style="3" customWidth="1"/>
    <col min="6" max="6" width="15.85546875" style="3" customWidth="1"/>
    <col min="7" max="7" width="16.28515625" style="3" bestFit="1" customWidth="1"/>
    <col min="8" max="8" width="11.7109375" style="3" customWidth="1"/>
    <col min="9" max="9" width="18.28515625" style="3" customWidth="1"/>
    <col min="10" max="10" width="17.85546875" style="3" customWidth="1"/>
    <col min="11" max="11" width="12.140625" style="3" customWidth="1"/>
    <col min="12" max="12" width="20.140625" style="3" customWidth="1"/>
    <col min="13" max="13" width="16" style="3" customWidth="1"/>
    <col min="14" max="14" width="11" style="3" customWidth="1"/>
    <col min="15" max="15" width="15.28515625" style="3" customWidth="1"/>
    <col min="16" max="16" width="13.28515625" style="3" customWidth="1"/>
    <col min="17" max="17" width="13.140625" style="3" customWidth="1"/>
    <col min="18" max="18" width="10.85546875" style="3" bestFit="1" customWidth="1"/>
    <col min="19" max="16384" width="9.140625" style="3"/>
  </cols>
  <sheetData>
    <row r="1" spans="1:64" ht="15.75" x14ac:dyDescent="0.25">
      <c r="R1" s="8" t="s">
        <v>146</v>
      </c>
    </row>
    <row r="2" spans="1:64" ht="45" customHeight="1" x14ac:dyDescent="0.25">
      <c r="D2" s="134" t="s">
        <v>151</v>
      </c>
      <c r="E2" s="134"/>
      <c r="F2" s="134"/>
      <c r="G2" s="134"/>
      <c r="H2" s="134"/>
      <c r="I2" s="134"/>
      <c r="J2" s="134"/>
    </row>
    <row r="5" spans="1:64" s="4" customFormat="1" ht="51" customHeight="1" x14ac:dyDescent="0.25">
      <c r="A5" s="121" t="s">
        <v>83</v>
      </c>
      <c r="B5" s="121" t="s">
        <v>91</v>
      </c>
      <c r="C5" s="136" t="s">
        <v>102</v>
      </c>
      <c r="D5" s="137"/>
      <c r="E5" s="138"/>
      <c r="F5" s="121" t="s">
        <v>138</v>
      </c>
      <c r="G5" s="121"/>
      <c r="H5" s="121"/>
      <c r="I5" s="121" t="s">
        <v>103</v>
      </c>
      <c r="J5" s="121"/>
      <c r="K5" s="121"/>
      <c r="L5" s="121" t="s">
        <v>104</v>
      </c>
      <c r="M5" s="121" t="s">
        <v>105</v>
      </c>
      <c r="N5" s="121"/>
      <c r="O5" s="121" t="s">
        <v>106</v>
      </c>
      <c r="P5" s="121" t="s">
        <v>107</v>
      </c>
      <c r="Q5" s="121"/>
      <c r="R5" s="121"/>
      <c r="S5" s="3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4" customFormat="1" ht="65.25" customHeight="1" x14ac:dyDescent="0.25">
      <c r="A6" s="121"/>
      <c r="B6" s="121"/>
      <c r="C6" s="55" t="s">
        <v>136</v>
      </c>
      <c r="D6" s="55" t="s">
        <v>108</v>
      </c>
      <c r="E6" s="55" t="s">
        <v>109</v>
      </c>
      <c r="F6" s="55" t="s">
        <v>110</v>
      </c>
      <c r="G6" s="55" t="s">
        <v>111</v>
      </c>
      <c r="H6" s="55" t="s">
        <v>109</v>
      </c>
      <c r="I6" s="55" t="s">
        <v>112</v>
      </c>
      <c r="J6" s="55" t="s">
        <v>111</v>
      </c>
      <c r="K6" s="55" t="s">
        <v>113</v>
      </c>
      <c r="L6" s="121"/>
      <c r="M6" s="55" t="s">
        <v>114</v>
      </c>
      <c r="N6" s="55" t="s">
        <v>115</v>
      </c>
      <c r="O6" s="121"/>
      <c r="P6" s="55" t="s">
        <v>116</v>
      </c>
      <c r="Q6" s="55" t="s">
        <v>117</v>
      </c>
      <c r="R6" s="55" t="s">
        <v>118</v>
      </c>
      <c r="S6" s="3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4" customFormat="1" ht="30" x14ac:dyDescent="0.25">
      <c r="A7" s="92">
        <v>1</v>
      </c>
      <c r="B7" s="22" t="s">
        <v>15</v>
      </c>
      <c r="C7" s="95">
        <v>448.89208000000002</v>
      </c>
      <c r="D7" s="95">
        <v>336.67000999999999</v>
      </c>
      <c r="E7" s="96">
        <f>((C7-D7)/C7)*100</f>
        <v>24.999788367841113</v>
      </c>
      <c r="F7" s="95">
        <v>4224.33025</v>
      </c>
      <c r="G7" s="95">
        <v>1551.3843400000001</v>
      </c>
      <c r="H7" s="96">
        <f>((F7-G7)/F7)*100</f>
        <v>63.275022354135317</v>
      </c>
      <c r="I7" s="95">
        <v>74.744</v>
      </c>
      <c r="J7" s="95">
        <v>74.744</v>
      </c>
      <c r="K7" s="94">
        <f>((I7-J7)/I7)*100</f>
        <v>0</v>
      </c>
      <c r="L7" s="96">
        <v>1133.2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3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4" customFormat="1" ht="30" x14ac:dyDescent="0.25">
      <c r="A8" s="92">
        <v>2</v>
      </c>
      <c r="B8" s="22" t="s">
        <v>16</v>
      </c>
      <c r="C8" s="95">
        <v>5624.06041</v>
      </c>
      <c r="D8" s="95">
        <v>1445.34503</v>
      </c>
      <c r="E8" s="96">
        <f>((C8-D8)/C8)*100</f>
        <v>74.300684476467055</v>
      </c>
      <c r="F8" s="95">
        <v>1292.1458700000001</v>
      </c>
      <c r="G8" s="95">
        <v>175.71898999999999</v>
      </c>
      <c r="H8" s="96">
        <f>((F8-G8)/F8)*100</f>
        <v>86.400994339748962</v>
      </c>
      <c r="I8" s="95">
        <v>19.96</v>
      </c>
      <c r="J8" s="95">
        <v>19.96</v>
      </c>
      <c r="K8" s="94">
        <f t="shared" ref="K8:K69" si="0">((I8-J8)/I8)*100</f>
        <v>0</v>
      </c>
      <c r="L8" s="97">
        <v>897.11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3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4" customFormat="1" ht="30" x14ac:dyDescent="0.25">
      <c r="A9" s="92">
        <v>3</v>
      </c>
      <c r="B9" s="22" t="s">
        <v>17</v>
      </c>
      <c r="C9" s="95">
        <v>1262.1927900000001</v>
      </c>
      <c r="D9" s="95">
        <v>320.52105999999998</v>
      </c>
      <c r="E9" s="96">
        <f>((C9-D9)/C9)*100</f>
        <v>74.606014030550753</v>
      </c>
      <c r="F9" s="95">
        <v>2236.0486799999999</v>
      </c>
      <c r="G9" s="95">
        <v>198.20439999999999</v>
      </c>
      <c r="H9" s="96">
        <f>((F9-G9)/F9)*100</f>
        <v>91.13595326556127</v>
      </c>
      <c r="I9" s="94">
        <v>0</v>
      </c>
      <c r="J9" s="94">
        <v>0</v>
      </c>
      <c r="K9" s="94">
        <v>0</v>
      </c>
      <c r="L9" s="97">
        <v>1086</v>
      </c>
      <c r="M9" s="96">
        <v>205.29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3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4" customFormat="1" ht="30" x14ac:dyDescent="0.25">
      <c r="A10" s="92">
        <v>4</v>
      </c>
      <c r="B10" s="22" t="s">
        <v>18</v>
      </c>
      <c r="C10" s="95">
        <v>23156.626329999999</v>
      </c>
      <c r="D10" s="95">
        <v>3627.3633799999998</v>
      </c>
      <c r="E10" s="96">
        <f t="shared" ref="E10:E66" si="1">((C10-D10)/C10)*100</f>
        <v>84.335527428273707</v>
      </c>
      <c r="F10" s="95">
        <v>1497.2447199999999</v>
      </c>
      <c r="G10" s="95">
        <v>109.95898</v>
      </c>
      <c r="H10" s="96">
        <f>((F10-G10)/F10)*100</f>
        <v>92.655911319560374</v>
      </c>
      <c r="I10" s="95">
        <v>630.02656999999999</v>
      </c>
      <c r="J10" s="95">
        <v>415.35174999999998</v>
      </c>
      <c r="K10" s="96">
        <f t="shared" si="0"/>
        <v>34.073931199441319</v>
      </c>
      <c r="L10" s="97">
        <v>1907.26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3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4" customFormat="1" ht="30" x14ac:dyDescent="0.25">
      <c r="A11" s="92">
        <v>5</v>
      </c>
      <c r="B11" s="22" t="s">
        <v>19</v>
      </c>
      <c r="C11" s="95">
        <v>4083.181</v>
      </c>
      <c r="D11" s="95">
        <v>48.476660000000003</v>
      </c>
      <c r="E11" s="96">
        <f t="shared" si="1"/>
        <v>98.812772198930205</v>
      </c>
      <c r="F11" s="95">
        <v>2032.47489</v>
      </c>
      <c r="G11" s="95">
        <v>446.21814000000001</v>
      </c>
      <c r="H11" s="96">
        <f t="shared" ref="H11:H35" si="2">((F11-G11)/F11)*100</f>
        <v>78.045576740187911</v>
      </c>
      <c r="I11" s="95">
        <v>37.317</v>
      </c>
      <c r="J11" s="95">
        <v>37.317</v>
      </c>
      <c r="K11" s="94">
        <f t="shared" si="0"/>
        <v>0</v>
      </c>
      <c r="L11" s="97">
        <v>1103.2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3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ht="30" x14ac:dyDescent="0.25">
      <c r="A12" s="92">
        <v>6</v>
      </c>
      <c r="B12" s="22" t="s">
        <v>20</v>
      </c>
      <c r="C12" s="95">
        <v>842.63991999999996</v>
      </c>
      <c r="D12" s="95">
        <v>470.76706999999999</v>
      </c>
      <c r="E12" s="96">
        <f t="shared" si="1"/>
        <v>44.131881385349033</v>
      </c>
      <c r="F12" s="95">
        <v>2075.2302199999999</v>
      </c>
      <c r="G12" s="95">
        <v>529.40539999999999</v>
      </c>
      <c r="H12" s="96">
        <f t="shared" si="2"/>
        <v>74.489317141883177</v>
      </c>
      <c r="I12" s="95">
        <v>23.395420000000001</v>
      </c>
      <c r="J12" s="95">
        <v>23.395420000000001</v>
      </c>
      <c r="K12" s="94">
        <f t="shared" si="0"/>
        <v>0</v>
      </c>
      <c r="L12" s="97">
        <v>1945.1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</row>
    <row r="13" spans="1:64" x14ac:dyDescent="0.25">
      <c r="A13" s="92">
        <v>7</v>
      </c>
      <c r="B13" s="22" t="s">
        <v>21</v>
      </c>
      <c r="C13" s="95">
        <v>4174.9146199999996</v>
      </c>
      <c r="D13" s="95">
        <v>1447.9441300000001</v>
      </c>
      <c r="E13" s="96">
        <f t="shared" si="1"/>
        <v>65.317994215651765</v>
      </c>
      <c r="F13" s="95">
        <v>15077.18706</v>
      </c>
      <c r="G13" s="95">
        <v>5448.5516900000002</v>
      </c>
      <c r="H13" s="96">
        <f t="shared" si="2"/>
        <v>63.862279692376511</v>
      </c>
      <c r="I13" s="95">
        <v>145.52789999999999</v>
      </c>
      <c r="J13" s="95">
        <v>145.52735999999999</v>
      </c>
      <c r="K13" s="98">
        <f t="shared" si="0"/>
        <v>3.7106286835780165E-4</v>
      </c>
      <c r="L13" s="97">
        <v>2565.71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</row>
    <row r="14" spans="1:64" ht="30" x14ac:dyDescent="0.25">
      <c r="A14" s="92">
        <v>8</v>
      </c>
      <c r="B14" s="22" t="s">
        <v>22</v>
      </c>
      <c r="C14" s="95">
        <v>23481.763770000001</v>
      </c>
      <c r="D14" s="95">
        <v>226.46203</v>
      </c>
      <c r="E14" s="96">
        <f t="shared" si="1"/>
        <v>99.035583390506105</v>
      </c>
      <c r="F14" s="95">
        <v>9413.2134000000005</v>
      </c>
      <c r="G14" s="95">
        <v>3158.9518499999999</v>
      </c>
      <c r="H14" s="96">
        <f t="shared" si="2"/>
        <v>66.441302074379834</v>
      </c>
      <c r="I14" s="95">
        <v>45.97</v>
      </c>
      <c r="J14" s="95">
        <v>4.9800399999999998</v>
      </c>
      <c r="K14" s="96">
        <f t="shared" si="0"/>
        <v>89.166760931041978</v>
      </c>
      <c r="L14" s="97">
        <v>2427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</row>
    <row r="15" spans="1:64" ht="30" x14ac:dyDescent="0.25">
      <c r="A15" s="92">
        <v>9</v>
      </c>
      <c r="B15" s="22" t="s">
        <v>23</v>
      </c>
      <c r="C15" s="95">
        <v>5585.21792</v>
      </c>
      <c r="D15" s="99">
        <v>0</v>
      </c>
      <c r="E15" s="96">
        <f t="shared" si="1"/>
        <v>100</v>
      </c>
      <c r="F15" s="95">
        <v>6831.6955799999996</v>
      </c>
      <c r="G15" s="95">
        <v>1011.74765</v>
      </c>
      <c r="H15" s="96">
        <f>((F15-G15)/F15)*100</f>
        <v>85.190387391353866</v>
      </c>
      <c r="I15" s="95">
        <v>51.624000000000002</v>
      </c>
      <c r="J15" s="95">
        <v>51.624000000000002</v>
      </c>
      <c r="K15" s="94">
        <f t="shared" si="0"/>
        <v>0</v>
      </c>
      <c r="L15" s="97">
        <v>2537.6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</row>
    <row r="16" spans="1:64" ht="30" x14ac:dyDescent="0.25">
      <c r="A16" s="92">
        <v>10</v>
      </c>
      <c r="B16" s="22" t="s">
        <v>24</v>
      </c>
      <c r="C16" s="95">
        <v>18211.519219999998</v>
      </c>
      <c r="D16" s="99">
        <v>0</v>
      </c>
      <c r="E16" s="96">
        <f t="shared" si="1"/>
        <v>100</v>
      </c>
      <c r="F16" s="95">
        <v>7129.6576100000002</v>
      </c>
      <c r="G16" s="95">
        <v>1876.67698</v>
      </c>
      <c r="H16" s="96">
        <f t="shared" si="2"/>
        <v>73.677880725046492</v>
      </c>
      <c r="I16" s="94">
        <v>0</v>
      </c>
      <c r="J16" s="94">
        <v>0</v>
      </c>
      <c r="K16" s="94">
        <v>0</v>
      </c>
      <c r="L16" s="97">
        <v>1821.1</v>
      </c>
      <c r="M16" s="96">
        <v>212.72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</row>
    <row r="17" spans="1:18" ht="30" x14ac:dyDescent="0.25">
      <c r="A17" s="92">
        <v>11</v>
      </c>
      <c r="B17" s="22" t="s">
        <v>25</v>
      </c>
      <c r="C17" s="95">
        <v>23966.967649999999</v>
      </c>
      <c r="D17" s="95">
        <v>11881.782010000001</v>
      </c>
      <c r="E17" s="96">
        <f t="shared" si="1"/>
        <v>50.424341604182864</v>
      </c>
      <c r="F17" s="95">
        <v>7269.9564799999998</v>
      </c>
      <c r="G17" s="95">
        <v>1292.1438900000001</v>
      </c>
      <c r="H17" s="96">
        <f t="shared" si="2"/>
        <v>82.22624999812929</v>
      </c>
      <c r="I17" s="95">
        <v>17.838000000000001</v>
      </c>
      <c r="J17" s="95">
        <v>17.838000000000001</v>
      </c>
      <c r="K17" s="94">
        <f t="shared" si="0"/>
        <v>0</v>
      </c>
      <c r="L17" s="97">
        <v>2530.6999999999998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</row>
    <row r="18" spans="1:18" ht="30" x14ac:dyDescent="0.25">
      <c r="A18" s="92">
        <v>12</v>
      </c>
      <c r="B18" s="22" t="s">
        <v>26</v>
      </c>
      <c r="C18" s="95">
        <v>22184.918600000001</v>
      </c>
      <c r="D18" s="95">
        <v>8272.0996200000009</v>
      </c>
      <c r="E18" s="96">
        <f t="shared" si="1"/>
        <v>62.712959334455256</v>
      </c>
      <c r="F18" s="95">
        <v>11002.41935</v>
      </c>
      <c r="G18" s="95">
        <v>1797.21912</v>
      </c>
      <c r="H18" s="96">
        <f t="shared" si="2"/>
        <v>83.665237046250198</v>
      </c>
      <c r="I18" s="95">
        <v>118.99926000000001</v>
      </c>
      <c r="J18" s="95">
        <v>118.99926000000001</v>
      </c>
      <c r="K18" s="94">
        <f t="shared" si="0"/>
        <v>0</v>
      </c>
      <c r="L18" s="97">
        <v>1126.4000000000001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</row>
    <row r="19" spans="1:18" x14ac:dyDescent="0.25">
      <c r="A19" s="92">
        <v>13</v>
      </c>
      <c r="B19" s="22" t="s">
        <v>27</v>
      </c>
      <c r="C19" s="95">
        <v>199189.26225</v>
      </c>
      <c r="D19" s="95">
        <v>170407.79300999999</v>
      </c>
      <c r="E19" s="96">
        <f t="shared" si="1"/>
        <v>14.449307615727166</v>
      </c>
      <c r="F19" s="95">
        <v>17650.81899</v>
      </c>
      <c r="G19" s="95">
        <v>5660.5991299999996</v>
      </c>
      <c r="H19" s="96">
        <f t="shared" si="2"/>
        <v>67.930104924836698</v>
      </c>
      <c r="I19" s="95">
        <v>49.829900000000002</v>
      </c>
      <c r="J19" s="95">
        <v>49.829900000000002</v>
      </c>
      <c r="K19" s="94">
        <f t="shared" si="0"/>
        <v>0</v>
      </c>
      <c r="L19" s="97">
        <v>7612.33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</row>
    <row r="20" spans="1:18" ht="30" x14ac:dyDescent="0.25">
      <c r="A20" s="92">
        <v>14</v>
      </c>
      <c r="B20" s="22" t="s">
        <v>28</v>
      </c>
      <c r="C20" s="95">
        <v>10031.931</v>
      </c>
      <c r="D20" s="95">
        <v>5938.9188299999996</v>
      </c>
      <c r="E20" s="96">
        <f t="shared" si="1"/>
        <v>40.799843719020799</v>
      </c>
      <c r="F20" s="95">
        <v>1664.5159799999999</v>
      </c>
      <c r="G20" s="95">
        <v>168.68501000000001</v>
      </c>
      <c r="H20" s="96">
        <f t="shared" si="2"/>
        <v>89.86582213527322</v>
      </c>
      <c r="I20" s="95">
        <v>89.389489999999995</v>
      </c>
      <c r="J20" s="95">
        <v>89.389489999999995</v>
      </c>
      <c r="K20" s="94">
        <f t="shared" si="0"/>
        <v>0</v>
      </c>
      <c r="L20" s="96">
        <v>1092.5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</row>
    <row r="21" spans="1:18" ht="30" x14ac:dyDescent="0.25">
      <c r="A21" s="92">
        <v>15</v>
      </c>
      <c r="B21" s="22" t="s">
        <v>29</v>
      </c>
      <c r="C21" s="95">
        <v>56439.941899999998</v>
      </c>
      <c r="D21" s="95">
        <v>53186.187460000001</v>
      </c>
      <c r="E21" s="96">
        <f t="shared" si="1"/>
        <v>5.7649854526161324</v>
      </c>
      <c r="F21" s="95">
        <v>3015.2743</v>
      </c>
      <c r="G21" s="95">
        <v>567.76994999999999</v>
      </c>
      <c r="H21" s="96">
        <f t="shared" si="2"/>
        <v>81.170205642650828</v>
      </c>
      <c r="I21" s="95">
        <v>26.279</v>
      </c>
      <c r="J21" s="95">
        <v>26.279</v>
      </c>
      <c r="K21" s="94">
        <f t="shared" si="0"/>
        <v>0</v>
      </c>
      <c r="L21" s="96">
        <v>1673.8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</row>
    <row r="22" spans="1:18" ht="30" x14ac:dyDescent="0.25">
      <c r="A22" s="92">
        <v>16</v>
      </c>
      <c r="B22" s="22" t="s">
        <v>30</v>
      </c>
      <c r="C22" s="95">
        <v>12401.146059999999</v>
      </c>
      <c r="D22" s="95">
        <v>5897.1669199999997</v>
      </c>
      <c r="E22" s="96">
        <f t="shared" si="1"/>
        <v>52.44659734295557</v>
      </c>
      <c r="F22" s="95">
        <v>856.46711000000005</v>
      </c>
      <c r="G22" s="95">
        <v>180.78648000000001</v>
      </c>
      <c r="H22" s="96">
        <f t="shared" si="2"/>
        <v>78.891602737669643</v>
      </c>
      <c r="I22" s="95">
        <v>16.79</v>
      </c>
      <c r="J22" s="95">
        <v>16.79</v>
      </c>
      <c r="K22" s="94">
        <f t="shared" si="0"/>
        <v>0</v>
      </c>
      <c r="L22" s="96">
        <v>1044.2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</row>
    <row r="23" spans="1:18" x14ac:dyDescent="0.25">
      <c r="A23" s="92">
        <v>17</v>
      </c>
      <c r="B23" s="22" t="s">
        <v>31</v>
      </c>
      <c r="C23" s="95">
        <v>4950.9269999999997</v>
      </c>
      <c r="D23" s="95">
        <v>4080.0008800000001</v>
      </c>
      <c r="E23" s="96">
        <f t="shared" si="1"/>
        <v>17.591172723815149</v>
      </c>
      <c r="F23" s="95">
        <v>805.2242</v>
      </c>
      <c r="G23" s="95">
        <v>53.861969999999999</v>
      </c>
      <c r="H23" s="96">
        <f>((F23-G23)/F23)*100</f>
        <v>93.310935016607786</v>
      </c>
      <c r="I23" s="95">
        <v>69.667000000000002</v>
      </c>
      <c r="J23" s="95">
        <v>69.667000000000002</v>
      </c>
      <c r="K23" s="94">
        <f t="shared" si="0"/>
        <v>0</v>
      </c>
      <c r="L23" s="96">
        <v>692.89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</row>
    <row r="24" spans="1:18" ht="30" x14ac:dyDescent="0.25">
      <c r="A24" s="92">
        <v>18</v>
      </c>
      <c r="B24" s="22" t="s">
        <v>32</v>
      </c>
      <c r="C24" s="95">
        <v>12320.588659999999</v>
      </c>
      <c r="D24" s="95">
        <v>2991.4809100000002</v>
      </c>
      <c r="E24" s="96">
        <f>((C24-D24)/C24)*100</f>
        <v>75.719659242320645</v>
      </c>
      <c r="F24" s="95">
        <v>1164.3999799999999</v>
      </c>
      <c r="G24" s="95">
        <v>144.56894</v>
      </c>
      <c r="H24" s="96">
        <f t="shared" si="2"/>
        <v>87.584254338444765</v>
      </c>
      <c r="I24" s="95">
        <v>86.712999999999994</v>
      </c>
      <c r="J24" s="95">
        <v>86.712999999999994</v>
      </c>
      <c r="K24" s="94">
        <f t="shared" si="0"/>
        <v>0</v>
      </c>
      <c r="L24" s="96">
        <v>1070</v>
      </c>
      <c r="M24" s="96">
        <v>219.9</v>
      </c>
      <c r="N24" s="94"/>
      <c r="O24" s="94">
        <v>0</v>
      </c>
      <c r="P24" s="94">
        <v>0</v>
      </c>
      <c r="Q24" s="94">
        <v>0</v>
      </c>
      <c r="R24" s="94">
        <v>0</v>
      </c>
    </row>
    <row r="25" spans="1:18" ht="30" x14ac:dyDescent="0.25">
      <c r="A25" s="92">
        <v>19</v>
      </c>
      <c r="B25" s="22" t="s">
        <v>33</v>
      </c>
      <c r="C25" s="95">
        <v>9359.5428900000006</v>
      </c>
      <c r="D25" s="99">
        <v>0</v>
      </c>
      <c r="E25" s="97">
        <f t="shared" si="1"/>
        <v>100</v>
      </c>
      <c r="F25" s="100">
        <v>1119.7258099999999</v>
      </c>
      <c r="G25" s="100">
        <v>222.42500000000001</v>
      </c>
      <c r="H25" s="96">
        <f t="shared" si="2"/>
        <v>80.135761986231259</v>
      </c>
      <c r="I25" s="95">
        <v>108.7787</v>
      </c>
      <c r="J25" s="95">
        <v>108.7787</v>
      </c>
      <c r="K25" s="94">
        <f t="shared" si="0"/>
        <v>0</v>
      </c>
      <c r="L25" s="96">
        <v>975.86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</row>
    <row r="26" spans="1:18" ht="30" x14ac:dyDescent="0.25">
      <c r="A26" s="92">
        <v>20</v>
      </c>
      <c r="B26" s="22" t="s">
        <v>34</v>
      </c>
      <c r="C26" s="95">
        <v>90.426000000000002</v>
      </c>
      <c r="D26" s="99">
        <v>0</v>
      </c>
      <c r="E26" s="97">
        <f t="shared" si="1"/>
        <v>100</v>
      </c>
      <c r="F26" s="100">
        <v>396.70934999999997</v>
      </c>
      <c r="G26" s="100">
        <v>66.969830000000002</v>
      </c>
      <c r="H26" s="96">
        <f t="shared" si="2"/>
        <v>83.11866609647592</v>
      </c>
      <c r="I26" s="95">
        <v>11.5</v>
      </c>
      <c r="J26" s="95">
        <v>11.5</v>
      </c>
      <c r="K26" s="94">
        <f t="shared" si="0"/>
        <v>0</v>
      </c>
      <c r="L26" s="96">
        <v>355.7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</row>
    <row r="27" spans="1:18" ht="30" x14ac:dyDescent="0.25">
      <c r="A27" s="92">
        <v>21</v>
      </c>
      <c r="B27" s="22" t="s">
        <v>35</v>
      </c>
      <c r="C27" s="95">
        <v>34.476999999999997</v>
      </c>
      <c r="D27" s="99">
        <v>0</v>
      </c>
      <c r="E27" s="97">
        <f t="shared" si="1"/>
        <v>100</v>
      </c>
      <c r="F27" s="100">
        <v>96.352999999999994</v>
      </c>
      <c r="G27" s="99">
        <v>0</v>
      </c>
      <c r="H27" s="96">
        <f>((F27-G27)/F27)*100</f>
        <v>100</v>
      </c>
      <c r="I27" s="94">
        <v>0</v>
      </c>
      <c r="J27" s="94">
        <v>0</v>
      </c>
      <c r="K27" s="94">
        <v>0</v>
      </c>
      <c r="L27" s="96">
        <v>227.26</v>
      </c>
      <c r="M27" s="96">
        <v>49.15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</row>
    <row r="28" spans="1:18" ht="30" x14ac:dyDescent="0.25">
      <c r="A28" s="92">
        <v>22</v>
      </c>
      <c r="B28" s="22" t="s">
        <v>36</v>
      </c>
      <c r="C28" s="100">
        <v>2891.2350700000002</v>
      </c>
      <c r="D28" s="100">
        <v>857.86878000000002</v>
      </c>
      <c r="E28" s="97">
        <f t="shared" si="1"/>
        <v>70.328639518058978</v>
      </c>
      <c r="F28" s="100">
        <v>710.25778000000003</v>
      </c>
      <c r="G28" s="100">
        <v>60.078870000000002</v>
      </c>
      <c r="H28" s="96">
        <f t="shared" si="2"/>
        <v>91.54125844281495</v>
      </c>
      <c r="I28" s="95">
        <v>55.423499999999997</v>
      </c>
      <c r="J28" s="95">
        <v>55.423499999999997</v>
      </c>
      <c r="K28" s="94">
        <f t="shared" si="0"/>
        <v>0</v>
      </c>
      <c r="L28" s="96">
        <v>753.8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</row>
    <row r="29" spans="1:18" ht="30" x14ac:dyDescent="0.25">
      <c r="A29" s="92">
        <v>23</v>
      </c>
      <c r="B29" s="22" t="s">
        <v>134</v>
      </c>
      <c r="C29" s="99">
        <v>0</v>
      </c>
      <c r="D29" s="99">
        <v>0</v>
      </c>
      <c r="E29" s="99">
        <v>0</v>
      </c>
      <c r="F29" s="100">
        <v>216.36652000000001</v>
      </c>
      <c r="G29" s="100">
        <v>84.91798</v>
      </c>
      <c r="H29" s="96">
        <f t="shared" si="2"/>
        <v>60.752717194878393</v>
      </c>
      <c r="I29" s="94">
        <v>0</v>
      </c>
      <c r="J29" s="94">
        <v>0</v>
      </c>
      <c r="K29" s="94">
        <v>0</v>
      </c>
      <c r="L29" s="96">
        <v>303.10000000000002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</row>
    <row r="30" spans="1:18" x14ac:dyDescent="0.25">
      <c r="A30" s="92">
        <v>24</v>
      </c>
      <c r="B30" s="22" t="s">
        <v>37</v>
      </c>
      <c r="C30" s="100">
        <v>491.14463999999998</v>
      </c>
      <c r="D30" s="100">
        <v>326.12038000000001</v>
      </c>
      <c r="E30" s="97">
        <f t="shared" si="1"/>
        <v>33.5999309694187</v>
      </c>
      <c r="F30" s="100">
        <v>571.50433999999996</v>
      </c>
      <c r="G30" s="100">
        <v>70.286919999999995</v>
      </c>
      <c r="H30" s="96">
        <f t="shared" si="2"/>
        <v>87.701419730250862</v>
      </c>
      <c r="I30" s="95">
        <v>32.299999999999997</v>
      </c>
      <c r="J30" s="95">
        <v>32.299999999999997</v>
      </c>
      <c r="K30" s="94">
        <f t="shared" si="0"/>
        <v>0</v>
      </c>
      <c r="L30" s="96">
        <v>729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</row>
    <row r="31" spans="1:18" x14ac:dyDescent="0.25">
      <c r="A31" s="92">
        <v>25</v>
      </c>
      <c r="B31" s="22" t="s">
        <v>38</v>
      </c>
      <c r="C31" s="100">
        <v>176.53523000000001</v>
      </c>
      <c r="D31" s="100">
        <v>104.54486</v>
      </c>
      <c r="E31" s="97">
        <f t="shared" si="1"/>
        <v>40.779605294648555</v>
      </c>
      <c r="F31" s="100">
        <v>874.30520000000001</v>
      </c>
      <c r="G31" s="100">
        <v>165.13234</v>
      </c>
      <c r="H31" s="96">
        <f t="shared" si="2"/>
        <v>81.112735003749265</v>
      </c>
      <c r="I31" s="95">
        <v>185.24638999999999</v>
      </c>
      <c r="J31" s="95">
        <v>185.24638999999999</v>
      </c>
      <c r="K31" s="94">
        <f t="shared" si="0"/>
        <v>0</v>
      </c>
      <c r="L31" s="96">
        <v>3079.3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</row>
    <row r="32" spans="1:18" ht="30" x14ac:dyDescent="0.25">
      <c r="A32" s="92">
        <v>26</v>
      </c>
      <c r="B32" s="22" t="s">
        <v>39</v>
      </c>
      <c r="C32" s="100">
        <v>500.91386999999997</v>
      </c>
      <c r="D32" s="100">
        <v>326.59973000000002</v>
      </c>
      <c r="E32" s="97">
        <f t="shared" si="1"/>
        <v>34.799224066205227</v>
      </c>
      <c r="F32" s="100">
        <v>507.64720999999997</v>
      </c>
      <c r="G32" s="100">
        <v>86.129440000000002</v>
      </c>
      <c r="H32" s="96">
        <f t="shared" si="2"/>
        <v>83.033603198567761</v>
      </c>
      <c r="I32" s="95">
        <v>20.43</v>
      </c>
      <c r="J32" s="95">
        <v>20.43</v>
      </c>
      <c r="K32" s="94">
        <f t="shared" si="0"/>
        <v>0</v>
      </c>
      <c r="L32" s="96">
        <v>709</v>
      </c>
      <c r="M32" s="96">
        <v>125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</row>
    <row r="33" spans="1:18" ht="30" x14ac:dyDescent="0.25">
      <c r="A33" s="92">
        <v>27</v>
      </c>
      <c r="B33" s="22" t="s">
        <v>40</v>
      </c>
      <c r="C33" s="100">
        <v>8281.7029999999995</v>
      </c>
      <c r="D33" s="100">
        <v>165.63719</v>
      </c>
      <c r="E33" s="97">
        <f t="shared" si="1"/>
        <v>97.999962205841001</v>
      </c>
      <c r="F33" s="100">
        <v>754.35374999999999</v>
      </c>
      <c r="G33" s="100">
        <v>56.744720000000001</v>
      </c>
      <c r="H33" s="96">
        <f t="shared" si="2"/>
        <v>92.477704260103437</v>
      </c>
      <c r="I33" s="95">
        <v>31.913</v>
      </c>
      <c r="J33" s="95">
        <v>31.913</v>
      </c>
      <c r="K33" s="94">
        <f t="shared" si="0"/>
        <v>0</v>
      </c>
      <c r="L33" s="96">
        <v>1068.9000000000001</v>
      </c>
      <c r="M33" s="96">
        <v>1068.9000000000001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</row>
    <row r="34" spans="1:18" ht="30" x14ac:dyDescent="0.25">
      <c r="A34" s="92">
        <v>28</v>
      </c>
      <c r="B34" s="22" t="s">
        <v>41</v>
      </c>
      <c r="C34" s="100">
        <v>16504.2857</v>
      </c>
      <c r="D34" s="100">
        <v>7817.1883900000003</v>
      </c>
      <c r="E34" s="97">
        <f t="shared" si="1"/>
        <v>52.635403118354894</v>
      </c>
      <c r="F34" s="100">
        <v>705.40534000000002</v>
      </c>
      <c r="G34" s="100">
        <v>128.07117</v>
      </c>
      <c r="H34" s="96">
        <f t="shared" si="2"/>
        <v>81.844315213151077</v>
      </c>
      <c r="I34" s="95">
        <v>70.209999999999994</v>
      </c>
      <c r="J34" s="95">
        <v>70.209999999999994</v>
      </c>
      <c r="K34" s="94">
        <f t="shared" si="0"/>
        <v>0</v>
      </c>
      <c r="L34" s="96">
        <v>1438.7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</row>
    <row r="35" spans="1:18" ht="30" x14ac:dyDescent="0.25">
      <c r="A35" s="92">
        <v>29</v>
      </c>
      <c r="B35" s="22" t="s">
        <v>42</v>
      </c>
      <c r="C35" s="100">
        <v>1074.3040599999999</v>
      </c>
      <c r="D35" s="101">
        <v>0</v>
      </c>
      <c r="E35" s="97">
        <f t="shared" si="1"/>
        <v>100</v>
      </c>
      <c r="F35" s="100">
        <v>392.77391999999998</v>
      </c>
      <c r="G35" s="99">
        <v>0</v>
      </c>
      <c r="H35" s="96">
        <f t="shared" si="2"/>
        <v>100</v>
      </c>
      <c r="I35" s="95">
        <v>69.17</v>
      </c>
      <c r="J35" s="95">
        <v>69.17</v>
      </c>
      <c r="K35" s="94">
        <f t="shared" si="0"/>
        <v>0</v>
      </c>
      <c r="L35" s="96">
        <v>235.9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</row>
    <row r="36" spans="1:18" x14ac:dyDescent="0.25">
      <c r="A36" s="92">
        <v>30</v>
      </c>
      <c r="B36" s="22" t="s">
        <v>43</v>
      </c>
      <c r="C36" s="100">
        <v>4231.6013700000003</v>
      </c>
      <c r="D36" s="100">
        <v>1073.2106000000001</v>
      </c>
      <c r="E36" s="97">
        <f t="shared" si="1"/>
        <v>74.63819234938947</v>
      </c>
      <c r="F36" s="100">
        <v>665.54993999999999</v>
      </c>
      <c r="G36" s="100">
        <v>83.531239999999997</v>
      </c>
      <c r="H36" s="96">
        <f>((F36-G36)/F36)*100</f>
        <v>87.449290431909589</v>
      </c>
      <c r="I36" s="95">
        <v>15.215</v>
      </c>
      <c r="J36" s="95">
        <v>15.215</v>
      </c>
      <c r="K36" s="94">
        <f t="shared" si="0"/>
        <v>0</v>
      </c>
      <c r="L36" s="96">
        <v>1147.5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</row>
    <row r="37" spans="1:18" ht="30" x14ac:dyDescent="0.25">
      <c r="A37" s="92">
        <v>31</v>
      </c>
      <c r="B37" s="22" t="s">
        <v>44</v>
      </c>
      <c r="C37" s="100">
        <v>7158.2845900000002</v>
      </c>
      <c r="D37" s="99">
        <v>0</v>
      </c>
      <c r="E37" s="97">
        <f>((C37-D37)/C37)*100</f>
        <v>100</v>
      </c>
      <c r="F37" s="100">
        <v>1052.5570700000001</v>
      </c>
      <c r="G37" s="100">
        <v>109.99485</v>
      </c>
      <c r="H37" s="96">
        <f>((F37-G37)/F37)*100</f>
        <v>89.549749544696894</v>
      </c>
      <c r="I37" s="95">
        <v>71.103999999999999</v>
      </c>
      <c r="J37" s="95">
        <v>71.103999999999999</v>
      </c>
      <c r="K37" s="94">
        <f t="shared" si="0"/>
        <v>0</v>
      </c>
      <c r="L37" s="96">
        <v>1020.8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</row>
    <row r="38" spans="1:18" ht="30" x14ac:dyDescent="0.25">
      <c r="A38" s="92">
        <v>32</v>
      </c>
      <c r="B38" s="22" t="s">
        <v>45</v>
      </c>
      <c r="C38" s="95">
        <v>4392.6114399999997</v>
      </c>
      <c r="D38" s="95">
        <v>1248.2820099999999</v>
      </c>
      <c r="E38" s="96">
        <f t="shared" si="1"/>
        <v>71.582234689986606</v>
      </c>
      <c r="F38" s="95">
        <v>940.70660999999996</v>
      </c>
      <c r="G38" s="95">
        <v>186.6541</v>
      </c>
      <c r="H38" s="96">
        <f t="shared" ref="H38:H47" si="3">((F38-G38)/F38)*100</f>
        <v>80.158096263403536</v>
      </c>
      <c r="I38" s="95">
        <v>43.19</v>
      </c>
      <c r="J38" s="95">
        <v>43.19</v>
      </c>
      <c r="K38" s="94">
        <f t="shared" si="0"/>
        <v>0</v>
      </c>
      <c r="L38" s="96">
        <v>987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</row>
    <row r="39" spans="1:18" ht="30" x14ac:dyDescent="0.25">
      <c r="A39" s="92">
        <v>33</v>
      </c>
      <c r="B39" s="22" t="s">
        <v>46</v>
      </c>
      <c r="C39" s="95">
        <v>11661.90553</v>
      </c>
      <c r="D39" s="95">
        <v>8096.2118300000002</v>
      </c>
      <c r="E39" s="96">
        <f t="shared" si="1"/>
        <v>30.575566667276888</v>
      </c>
      <c r="F39" s="95">
        <v>2690.42929</v>
      </c>
      <c r="G39" s="95">
        <v>395.61613999999997</v>
      </c>
      <c r="H39" s="96">
        <f t="shared" si="3"/>
        <v>85.295426961397666</v>
      </c>
      <c r="I39" s="95">
        <v>17.998999999999999</v>
      </c>
      <c r="J39" s="95">
        <v>17.998999999999999</v>
      </c>
      <c r="K39" s="94">
        <f t="shared" si="0"/>
        <v>0</v>
      </c>
      <c r="L39" s="96">
        <v>1896.08</v>
      </c>
      <c r="M39" s="96">
        <v>54.19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</row>
    <row r="40" spans="1:18" ht="30" x14ac:dyDescent="0.25">
      <c r="A40" s="92">
        <v>34</v>
      </c>
      <c r="B40" s="22" t="s">
        <v>47</v>
      </c>
      <c r="C40" s="95">
        <v>46855.911</v>
      </c>
      <c r="D40" s="95">
        <v>27543.14963</v>
      </c>
      <c r="E40" s="96">
        <f t="shared" si="1"/>
        <v>41.217342610199168</v>
      </c>
      <c r="F40" s="95">
        <v>9899.2789499999999</v>
      </c>
      <c r="G40" s="95">
        <v>1839.11455</v>
      </c>
      <c r="H40" s="96">
        <f t="shared" si="3"/>
        <v>81.421732236366566</v>
      </c>
      <c r="I40" s="95">
        <v>25.102</v>
      </c>
      <c r="J40" s="95">
        <v>25.102</v>
      </c>
      <c r="K40" s="94">
        <f t="shared" si="0"/>
        <v>0</v>
      </c>
      <c r="L40" s="96">
        <v>3098.99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</row>
    <row r="41" spans="1:18" ht="30" x14ac:dyDescent="0.25">
      <c r="A41" s="92">
        <v>35</v>
      </c>
      <c r="B41" s="22" t="s">
        <v>48</v>
      </c>
      <c r="C41" s="95">
        <v>5799.5688</v>
      </c>
      <c r="D41" s="95">
        <v>41.222380000000001</v>
      </c>
      <c r="E41" s="96">
        <f t="shared" si="1"/>
        <v>99.289216467265632</v>
      </c>
      <c r="F41" s="95">
        <v>3305.2099800000001</v>
      </c>
      <c r="G41" s="95">
        <v>785.04639999999995</v>
      </c>
      <c r="H41" s="96">
        <f t="shared" si="3"/>
        <v>76.248214039339203</v>
      </c>
      <c r="I41" s="95">
        <v>22.99972</v>
      </c>
      <c r="J41" s="95">
        <v>22.99972</v>
      </c>
      <c r="K41" s="94">
        <f t="shared" si="0"/>
        <v>0</v>
      </c>
      <c r="L41" s="96">
        <v>1409.8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</row>
    <row r="42" spans="1:18" ht="30" x14ac:dyDescent="0.25">
      <c r="A42" s="92">
        <v>36</v>
      </c>
      <c r="B42" s="22" t="s">
        <v>49</v>
      </c>
      <c r="C42" s="95">
        <v>57368.499969999997</v>
      </c>
      <c r="D42" s="95">
        <v>54448.716560000001</v>
      </c>
      <c r="E42" s="96">
        <f t="shared" si="1"/>
        <v>5.0895237134086715</v>
      </c>
      <c r="F42" s="95">
        <v>3431.1173399999998</v>
      </c>
      <c r="G42" s="95">
        <v>250.71681000000001</v>
      </c>
      <c r="H42" s="96">
        <f t="shared" si="3"/>
        <v>92.692852352289407</v>
      </c>
      <c r="I42" s="95">
        <v>17</v>
      </c>
      <c r="J42" s="95">
        <v>17</v>
      </c>
      <c r="K42" s="94">
        <f t="shared" si="0"/>
        <v>0</v>
      </c>
      <c r="L42" s="96">
        <v>1453.8</v>
      </c>
      <c r="M42" s="94">
        <v>0</v>
      </c>
      <c r="N42" s="94">
        <v>0</v>
      </c>
      <c r="O42" s="94">
        <v>0</v>
      </c>
      <c r="P42" s="94">
        <v>0</v>
      </c>
      <c r="Q42" s="94">
        <v>0</v>
      </c>
      <c r="R42" s="94">
        <v>0</v>
      </c>
    </row>
    <row r="43" spans="1:18" ht="30" x14ac:dyDescent="0.25">
      <c r="A43" s="92">
        <v>37</v>
      </c>
      <c r="B43" s="22" t="s">
        <v>50</v>
      </c>
      <c r="C43" s="94">
        <v>0</v>
      </c>
      <c r="D43" s="94">
        <v>0</v>
      </c>
      <c r="E43" s="94">
        <v>0</v>
      </c>
      <c r="F43" s="95">
        <v>1052.9984400000001</v>
      </c>
      <c r="G43" s="94">
        <v>0</v>
      </c>
      <c r="H43" s="96">
        <f t="shared" si="3"/>
        <v>100</v>
      </c>
      <c r="I43" s="94">
        <v>0</v>
      </c>
      <c r="J43" s="94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</row>
    <row r="44" spans="1:18" ht="30" x14ac:dyDescent="0.25">
      <c r="A44" s="92">
        <v>38</v>
      </c>
      <c r="B44" s="22" t="s">
        <v>51</v>
      </c>
      <c r="C44" s="95">
        <v>22797.37645</v>
      </c>
      <c r="D44" s="95">
        <v>1513.2158899999999</v>
      </c>
      <c r="E44" s="96">
        <f t="shared" si="1"/>
        <v>93.36232441781695</v>
      </c>
      <c r="F44" s="95">
        <v>12020.24942</v>
      </c>
      <c r="G44" s="95">
        <v>1631.6070199999999</v>
      </c>
      <c r="H44" s="96">
        <f t="shared" si="3"/>
        <v>86.426179998517867</v>
      </c>
      <c r="I44" s="95">
        <v>323.71890000000002</v>
      </c>
      <c r="J44" s="95">
        <v>270.07690000000002</v>
      </c>
      <c r="K44" s="96">
        <f t="shared" si="0"/>
        <v>16.570549325356041</v>
      </c>
      <c r="L44" s="96">
        <v>5067.04</v>
      </c>
      <c r="M44" s="94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</row>
    <row r="45" spans="1:18" ht="30" x14ac:dyDescent="0.25">
      <c r="A45" s="92">
        <v>39</v>
      </c>
      <c r="B45" s="22" t="s">
        <v>52</v>
      </c>
      <c r="C45" s="95">
        <v>20049.020960000002</v>
      </c>
      <c r="D45" s="95">
        <v>13550.07151</v>
      </c>
      <c r="E45" s="96">
        <f t="shared" si="1"/>
        <v>32.415295804050082</v>
      </c>
      <c r="F45" s="95">
        <v>5657.0660399999997</v>
      </c>
      <c r="G45" s="95">
        <v>1329.6815999999999</v>
      </c>
      <c r="H45" s="96">
        <f t="shared" si="3"/>
        <v>76.495208106144005</v>
      </c>
      <c r="I45" s="95">
        <v>4</v>
      </c>
      <c r="J45" s="95">
        <v>4</v>
      </c>
      <c r="K45" s="94">
        <f t="shared" si="0"/>
        <v>0</v>
      </c>
      <c r="L45" s="96">
        <v>1203.25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</row>
    <row r="46" spans="1:18" ht="30" x14ac:dyDescent="0.25">
      <c r="A46" s="92">
        <v>40</v>
      </c>
      <c r="B46" s="22" t="s">
        <v>53</v>
      </c>
      <c r="C46" s="95">
        <v>114245.09699999999</v>
      </c>
      <c r="D46" s="95">
        <v>92019.425740000006</v>
      </c>
      <c r="E46" s="96">
        <f t="shared" si="1"/>
        <v>19.454376462212629</v>
      </c>
      <c r="F46" s="95">
        <v>15687.58268</v>
      </c>
      <c r="G46" s="95">
        <v>3190.4040799999998</v>
      </c>
      <c r="H46" s="96">
        <f t="shared" si="3"/>
        <v>79.662870022241052</v>
      </c>
      <c r="I46" s="95">
        <v>23.619</v>
      </c>
      <c r="J46" s="95">
        <v>23.619</v>
      </c>
      <c r="K46" s="94">
        <f t="shared" si="0"/>
        <v>0</v>
      </c>
      <c r="L46" s="96">
        <v>6621.94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</row>
    <row r="47" spans="1:18" ht="30" x14ac:dyDescent="0.25">
      <c r="A47" s="92">
        <v>41</v>
      </c>
      <c r="B47" s="22" t="s">
        <v>54</v>
      </c>
      <c r="C47" s="95">
        <v>60083.637000000002</v>
      </c>
      <c r="D47" s="95">
        <v>42113.239549999998</v>
      </c>
      <c r="E47" s="96">
        <f t="shared" si="1"/>
        <v>29.908970806810519</v>
      </c>
      <c r="F47" s="95">
        <v>11522.067929999999</v>
      </c>
      <c r="G47" s="95">
        <v>2658.39635</v>
      </c>
      <c r="H47" s="96">
        <f t="shared" si="3"/>
        <v>76.927784438083918</v>
      </c>
      <c r="I47" s="94">
        <v>0</v>
      </c>
      <c r="J47" s="94">
        <v>0</v>
      </c>
      <c r="K47" s="94">
        <v>0</v>
      </c>
      <c r="L47" s="96">
        <v>6408.6</v>
      </c>
      <c r="M47" s="96">
        <v>582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</row>
    <row r="48" spans="1:18" ht="30" x14ac:dyDescent="0.25">
      <c r="A48" s="92">
        <v>42</v>
      </c>
      <c r="B48" s="22" t="s">
        <v>55</v>
      </c>
      <c r="C48" s="95">
        <v>9397.7648300000001</v>
      </c>
      <c r="D48" s="95">
        <v>105.95265000000001</v>
      </c>
      <c r="E48" s="96">
        <f>((C48-D48)/C48)*100</f>
        <v>98.872576065515361</v>
      </c>
      <c r="F48" s="95">
        <v>9221.6500899999992</v>
      </c>
      <c r="G48" s="95">
        <v>2795.2171600000001</v>
      </c>
      <c r="H48" s="96">
        <f>((F48-G48)/F48)*100</f>
        <v>69.688535861590026</v>
      </c>
      <c r="I48" s="95">
        <v>11.44</v>
      </c>
      <c r="J48" s="95">
        <v>11.44</v>
      </c>
      <c r="K48" s="94">
        <f t="shared" si="0"/>
        <v>0</v>
      </c>
      <c r="L48" s="96">
        <v>3181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</row>
    <row r="49" spans="1:18" ht="30" x14ac:dyDescent="0.25">
      <c r="A49" s="92">
        <v>43</v>
      </c>
      <c r="B49" s="22" t="s">
        <v>56</v>
      </c>
      <c r="C49" s="95">
        <v>28582.984130000001</v>
      </c>
      <c r="D49" s="95">
        <v>20101.187419999998</v>
      </c>
      <c r="E49" s="96">
        <f t="shared" si="1"/>
        <v>29.674286881395691</v>
      </c>
      <c r="F49" s="95">
        <v>6937.2466000000004</v>
      </c>
      <c r="G49" s="95">
        <v>1995.85878</v>
      </c>
      <c r="H49" s="96">
        <f>((F49-G49)/F49)*100</f>
        <v>71.22981356897418</v>
      </c>
      <c r="I49" s="94">
        <v>0</v>
      </c>
      <c r="J49" s="94">
        <v>0</v>
      </c>
      <c r="K49" s="94">
        <v>0</v>
      </c>
      <c r="L49" s="96">
        <v>1852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</row>
    <row r="50" spans="1:18" ht="30" x14ac:dyDescent="0.25">
      <c r="A50" s="92">
        <v>44</v>
      </c>
      <c r="B50" s="22" t="s">
        <v>57</v>
      </c>
      <c r="C50" s="95">
        <v>77929.827040000004</v>
      </c>
      <c r="D50" s="95">
        <v>71071.112420000005</v>
      </c>
      <c r="E50" s="96">
        <f t="shared" si="1"/>
        <v>8.8011418483959183</v>
      </c>
      <c r="F50" s="95">
        <v>4989.8908799999999</v>
      </c>
      <c r="G50" s="95">
        <v>503.77449000000001</v>
      </c>
      <c r="H50" s="96">
        <f t="shared" ref="H50:H59" si="4">((F50-G50)/F50)*100</f>
        <v>89.904098063162465</v>
      </c>
      <c r="I50" s="95">
        <v>10.99</v>
      </c>
      <c r="J50" s="95">
        <v>10.99</v>
      </c>
      <c r="K50" s="94">
        <f t="shared" si="0"/>
        <v>0</v>
      </c>
      <c r="L50" s="96">
        <v>3823.5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</row>
    <row r="51" spans="1:18" ht="30" x14ac:dyDescent="0.25">
      <c r="A51" s="92">
        <v>45</v>
      </c>
      <c r="B51" s="22" t="s">
        <v>58</v>
      </c>
      <c r="C51" s="95">
        <v>14488.12566</v>
      </c>
      <c r="D51" s="95">
        <v>8732.9052800000009</v>
      </c>
      <c r="E51" s="96">
        <f t="shared" si="1"/>
        <v>39.723705571449322</v>
      </c>
      <c r="F51" s="95">
        <v>5574.1269300000004</v>
      </c>
      <c r="G51" s="95">
        <v>854.60547999999994</v>
      </c>
      <c r="H51" s="96">
        <f t="shared" si="4"/>
        <v>84.668352717256838</v>
      </c>
      <c r="I51" s="95">
        <v>170.78493</v>
      </c>
      <c r="J51" s="95">
        <v>170.78493</v>
      </c>
      <c r="K51" s="94">
        <f t="shared" si="0"/>
        <v>0</v>
      </c>
      <c r="L51" s="96">
        <v>3019.2</v>
      </c>
      <c r="M51" s="94">
        <v>0</v>
      </c>
      <c r="N51" s="94">
        <v>0</v>
      </c>
      <c r="O51" s="94">
        <v>0</v>
      </c>
      <c r="P51" s="94">
        <v>0</v>
      </c>
      <c r="Q51" s="94">
        <v>0</v>
      </c>
      <c r="R51" s="94">
        <v>0</v>
      </c>
    </row>
    <row r="52" spans="1:18" ht="30" x14ac:dyDescent="0.25">
      <c r="A52" s="92">
        <v>46</v>
      </c>
      <c r="B52" s="22" t="s">
        <v>59</v>
      </c>
      <c r="C52" s="95">
        <v>1338.0535500000001</v>
      </c>
      <c r="D52" s="95">
        <v>572.67286999999999</v>
      </c>
      <c r="E52" s="96">
        <f t="shared" si="1"/>
        <v>57.20104998787231</v>
      </c>
      <c r="F52" s="95">
        <v>4245.68372</v>
      </c>
      <c r="G52" s="95">
        <v>682.04522999999995</v>
      </c>
      <c r="H52" s="96">
        <f t="shared" si="4"/>
        <v>83.93556197351414</v>
      </c>
      <c r="I52" s="95">
        <v>11.408379999999999</v>
      </c>
      <c r="J52" s="95">
        <v>11.408379999999999</v>
      </c>
      <c r="K52" s="94">
        <f t="shared" si="0"/>
        <v>0</v>
      </c>
      <c r="L52" s="96">
        <v>2084.1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</row>
    <row r="53" spans="1:18" ht="30" x14ac:dyDescent="0.25">
      <c r="A53" s="92">
        <v>47</v>
      </c>
      <c r="B53" s="22" t="s">
        <v>60</v>
      </c>
      <c r="C53" s="95">
        <v>47556.944179999999</v>
      </c>
      <c r="D53" s="95">
        <v>26356.26108</v>
      </c>
      <c r="E53" s="96">
        <f t="shared" si="1"/>
        <v>44.579573951927536</v>
      </c>
      <c r="F53" s="95">
        <v>5196.0570900000002</v>
      </c>
      <c r="G53" s="95">
        <v>1335.7646400000001</v>
      </c>
      <c r="H53" s="96">
        <f t="shared" si="4"/>
        <v>74.292725871493445</v>
      </c>
      <c r="I53" s="94">
        <v>0</v>
      </c>
      <c r="J53" s="94">
        <v>0</v>
      </c>
      <c r="K53" s="94">
        <v>0</v>
      </c>
      <c r="L53" s="96">
        <v>2957.8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  <c r="R53" s="94">
        <v>0</v>
      </c>
    </row>
    <row r="54" spans="1:18" ht="30" x14ac:dyDescent="0.25">
      <c r="A54" s="92">
        <v>48</v>
      </c>
      <c r="B54" s="22" t="s">
        <v>61</v>
      </c>
      <c r="C54" s="95">
        <v>37729.180800000002</v>
      </c>
      <c r="D54" s="95">
        <v>8605.4368400000003</v>
      </c>
      <c r="E54" s="96">
        <f t="shared" si="1"/>
        <v>77.191561922277401</v>
      </c>
      <c r="F54" s="95">
        <v>5717.7711900000004</v>
      </c>
      <c r="G54" s="95">
        <v>819.07732999999996</v>
      </c>
      <c r="H54" s="96">
        <f t="shared" si="4"/>
        <v>85.674884447413504</v>
      </c>
      <c r="I54" s="95">
        <v>91.508799999999994</v>
      </c>
      <c r="J54" s="95">
        <v>96.688800000000001</v>
      </c>
      <c r="K54" s="94">
        <v>0</v>
      </c>
      <c r="L54" s="96">
        <v>3751.1</v>
      </c>
      <c r="M54" s="96">
        <v>282.95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</row>
    <row r="55" spans="1:18" ht="30" x14ac:dyDescent="0.25">
      <c r="A55" s="92">
        <v>49</v>
      </c>
      <c r="B55" s="22" t="s">
        <v>62</v>
      </c>
      <c r="C55" s="95">
        <v>32815.73401</v>
      </c>
      <c r="D55" s="95">
        <v>13294.61541</v>
      </c>
      <c r="E55" s="96">
        <f t="shared" si="1"/>
        <v>59.487069812460369</v>
      </c>
      <c r="F55" s="95">
        <v>5637.2793199999996</v>
      </c>
      <c r="G55" s="95">
        <v>1972.69688</v>
      </c>
      <c r="H55" s="96">
        <f t="shared" si="4"/>
        <v>65.006224314604296</v>
      </c>
      <c r="I55" s="95">
        <v>51.88</v>
      </c>
      <c r="J55" s="95">
        <v>51.88</v>
      </c>
      <c r="K55" s="94">
        <f t="shared" si="0"/>
        <v>0</v>
      </c>
      <c r="L55" s="96">
        <v>1943.1</v>
      </c>
      <c r="M55" s="94">
        <v>0</v>
      </c>
      <c r="N55" s="94">
        <v>0</v>
      </c>
      <c r="O55" s="94">
        <v>0</v>
      </c>
      <c r="P55" s="94">
        <v>0</v>
      </c>
      <c r="Q55" s="94">
        <v>0</v>
      </c>
      <c r="R55" s="94">
        <v>0</v>
      </c>
    </row>
    <row r="56" spans="1:18" ht="30" x14ac:dyDescent="0.25">
      <c r="A56" s="92">
        <v>50</v>
      </c>
      <c r="B56" s="22" t="s">
        <v>63</v>
      </c>
      <c r="C56" s="95">
        <v>6264.9893599999996</v>
      </c>
      <c r="D56" s="95">
        <v>1715.98516</v>
      </c>
      <c r="E56" s="96">
        <f t="shared" si="1"/>
        <v>72.609926986372415</v>
      </c>
      <c r="F56" s="95">
        <v>4744.0420299999996</v>
      </c>
      <c r="G56" s="95">
        <v>601.44817</v>
      </c>
      <c r="H56" s="96">
        <f t="shared" si="4"/>
        <v>87.322031166743272</v>
      </c>
      <c r="I56" s="94">
        <v>0</v>
      </c>
      <c r="J56" s="94">
        <v>0</v>
      </c>
      <c r="K56" s="94">
        <v>0</v>
      </c>
      <c r="L56" s="96">
        <v>2556.41</v>
      </c>
      <c r="M56" s="96">
        <v>449.29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</row>
    <row r="57" spans="1:18" ht="30" x14ac:dyDescent="0.25">
      <c r="A57" s="92">
        <v>51</v>
      </c>
      <c r="B57" s="22" t="s">
        <v>64</v>
      </c>
      <c r="C57" s="95">
        <v>7935.2151599999997</v>
      </c>
      <c r="D57" s="95">
        <v>1011.8236900000001</v>
      </c>
      <c r="E57" s="96">
        <f t="shared" si="1"/>
        <v>87.248944488607918</v>
      </c>
      <c r="F57" s="95">
        <v>4401.4265699999996</v>
      </c>
      <c r="G57" s="95">
        <v>1770.4035100000001</v>
      </c>
      <c r="H57" s="96">
        <f t="shared" si="4"/>
        <v>59.776597840640555</v>
      </c>
      <c r="I57" s="94">
        <v>0</v>
      </c>
      <c r="J57" s="94">
        <v>0</v>
      </c>
      <c r="K57" s="94">
        <v>0</v>
      </c>
      <c r="L57" s="96">
        <v>1039.8</v>
      </c>
      <c r="M57" s="94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</row>
    <row r="58" spans="1:18" ht="30" x14ac:dyDescent="0.25">
      <c r="A58" s="92">
        <v>52</v>
      </c>
      <c r="B58" s="22" t="s">
        <v>65</v>
      </c>
      <c r="C58" s="95">
        <v>13608.201230000001</v>
      </c>
      <c r="D58" s="95">
        <v>9481.9532299999992</v>
      </c>
      <c r="E58" s="96">
        <f>((C58-D58)/C58)*100</f>
        <v>30.321773835203647</v>
      </c>
      <c r="F58" s="95">
        <v>3680.4813899999999</v>
      </c>
      <c r="G58" s="95">
        <v>703.95420999999999</v>
      </c>
      <c r="H58" s="96">
        <f t="shared" si="4"/>
        <v>80.873311520806254</v>
      </c>
      <c r="I58" s="95">
        <v>17.09</v>
      </c>
      <c r="J58" s="95">
        <v>17.09</v>
      </c>
      <c r="K58" s="94">
        <f t="shared" si="0"/>
        <v>0</v>
      </c>
      <c r="L58" s="94"/>
      <c r="M58" s="94">
        <v>0</v>
      </c>
      <c r="N58" s="94">
        <v>0</v>
      </c>
      <c r="O58" s="94">
        <v>0</v>
      </c>
      <c r="P58" s="94">
        <v>0</v>
      </c>
      <c r="Q58" s="94">
        <v>0</v>
      </c>
      <c r="R58" s="94">
        <v>0</v>
      </c>
    </row>
    <row r="59" spans="1:18" ht="30" x14ac:dyDescent="0.25">
      <c r="A59" s="92">
        <v>53</v>
      </c>
      <c r="B59" s="22" t="s">
        <v>66</v>
      </c>
      <c r="C59" s="95">
        <v>25962.263660000001</v>
      </c>
      <c r="D59" s="95">
        <v>4542.7426100000002</v>
      </c>
      <c r="E59" s="96">
        <f t="shared" si="1"/>
        <v>82.50251723235138</v>
      </c>
      <c r="F59" s="95">
        <v>7047.9286700000002</v>
      </c>
      <c r="G59" s="95">
        <v>1294.8512700000001</v>
      </c>
      <c r="H59" s="96">
        <f t="shared" si="4"/>
        <v>81.627917497070811</v>
      </c>
      <c r="I59" s="95">
        <v>45.000250000000001</v>
      </c>
      <c r="J59" s="95">
        <v>45.000250000000001</v>
      </c>
      <c r="K59" s="94">
        <f t="shared" si="0"/>
        <v>0</v>
      </c>
      <c r="L59" s="96">
        <v>2766.8</v>
      </c>
      <c r="M59" s="94">
        <v>0</v>
      </c>
      <c r="N59" s="94">
        <v>0</v>
      </c>
      <c r="O59" s="94">
        <v>0</v>
      </c>
      <c r="P59" s="94">
        <v>0</v>
      </c>
      <c r="Q59" s="94">
        <v>0</v>
      </c>
      <c r="R59" s="94">
        <v>0</v>
      </c>
    </row>
    <row r="60" spans="1:18" ht="30" x14ac:dyDescent="0.25">
      <c r="A60" s="92">
        <v>54</v>
      </c>
      <c r="B60" s="22" t="s">
        <v>67</v>
      </c>
      <c r="C60" s="95">
        <v>5588.75407</v>
      </c>
      <c r="D60" s="95">
        <v>2610.1247199999998</v>
      </c>
      <c r="E60" s="96">
        <f t="shared" si="1"/>
        <v>53.296840631958609</v>
      </c>
      <c r="F60" s="95">
        <v>3268.0390600000001</v>
      </c>
      <c r="G60" s="95">
        <v>570.70239000000004</v>
      </c>
      <c r="H60" s="96">
        <f>((F60-G60)/F60)*100</f>
        <v>82.536855296949852</v>
      </c>
      <c r="I60" s="94">
        <v>0</v>
      </c>
      <c r="J60" s="94">
        <v>0</v>
      </c>
      <c r="K60" s="94">
        <v>0</v>
      </c>
      <c r="L60" s="96">
        <v>1186.5</v>
      </c>
      <c r="M60" s="94">
        <v>0</v>
      </c>
      <c r="N60" s="94">
        <v>0</v>
      </c>
      <c r="O60" s="94">
        <v>0</v>
      </c>
      <c r="P60" s="94">
        <v>0</v>
      </c>
      <c r="Q60" s="94">
        <v>0</v>
      </c>
      <c r="R60" s="94">
        <v>0</v>
      </c>
    </row>
    <row r="61" spans="1:18" ht="30" x14ac:dyDescent="0.25">
      <c r="A61" s="92">
        <v>55</v>
      </c>
      <c r="B61" s="22" t="s">
        <v>68</v>
      </c>
      <c r="C61" s="95">
        <v>59769.39615</v>
      </c>
      <c r="D61" s="94">
        <v>0</v>
      </c>
      <c r="E61" s="96">
        <f t="shared" si="1"/>
        <v>100</v>
      </c>
      <c r="F61" s="95">
        <v>5186.32726</v>
      </c>
      <c r="G61" s="95">
        <v>676.36626999999999</v>
      </c>
      <c r="H61" s="96">
        <f>((F61-G61)/F61)*100</f>
        <v>86.95866581315579</v>
      </c>
      <c r="I61" s="94">
        <v>0</v>
      </c>
      <c r="J61" s="94">
        <v>0</v>
      </c>
      <c r="K61" s="94">
        <v>0</v>
      </c>
      <c r="L61" s="96">
        <v>3214.66</v>
      </c>
      <c r="M61" s="94">
        <v>0</v>
      </c>
      <c r="N61" s="94">
        <v>0</v>
      </c>
      <c r="O61" s="94">
        <v>0</v>
      </c>
      <c r="P61" s="94">
        <v>0</v>
      </c>
      <c r="Q61" s="94">
        <v>0</v>
      </c>
      <c r="R61" s="94">
        <v>0</v>
      </c>
    </row>
    <row r="62" spans="1:18" ht="30" x14ac:dyDescent="0.25">
      <c r="A62" s="92">
        <v>56</v>
      </c>
      <c r="B62" s="22" t="s">
        <v>69</v>
      </c>
      <c r="C62" s="95">
        <v>18668.31494</v>
      </c>
      <c r="D62" s="100">
        <v>13645.6747</v>
      </c>
      <c r="E62" s="96">
        <f t="shared" si="1"/>
        <v>26.904625597665223</v>
      </c>
      <c r="F62" s="95">
        <v>6504.5689499999999</v>
      </c>
      <c r="G62" s="95">
        <v>594.16178000000002</v>
      </c>
      <c r="H62" s="96">
        <f t="shared" ref="H62:H75" si="5">((F62-G62)/F62)*100</f>
        <v>90.865470339890848</v>
      </c>
      <c r="I62" s="95">
        <v>32.97</v>
      </c>
      <c r="J62" s="95">
        <v>32.97</v>
      </c>
      <c r="K62" s="94">
        <f t="shared" si="0"/>
        <v>0</v>
      </c>
      <c r="L62" s="96">
        <v>3611.4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4">
        <v>0</v>
      </c>
    </row>
    <row r="63" spans="1:18" ht="30" x14ac:dyDescent="0.25">
      <c r="A63" s="92">
        <v>57</v>
      </c>
      <c r="B63" s="22" t="s">
        <v>70</v>
      </c>
      <c r="C63" s="95">
        <v>49287.292690000002</v>
      </c>
      <c r="D63" s="100">
        <v>32537.881799999999</v>
      </c>
      <c r="E63" s="96">
        <f t="shared" si="1"/>
        <v>33.983223617795346</v>
      </c>
      <c r="F63" s="95">
        <v>4130.22534</v>
      </c>
      <c r="G63" s="95">
        <v>490.65120000000002</v>
      </c>
      <c r="H63" s="96">
        <f t="shared" si="5"/>
        <v>88.120473833517281</v>
      </c>
      <c r="I63" s="95">
        <v>81.335579999999993</v>
      </c>
      <c r="J63" s="95">
        <v>81.335579999999993</v>
      </c>
      <c r="K63" s="94">
        <f t="shared" si="0"/>
        <v>0</v>
      </c>
      <c r="L63" s="96">
        <v>2940.53</v>
      </c>
      <c r="M63" s="94">
        <v>0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</row>
    <row r="64" spans="1:18" ht="30" x14ac:dyDescent="0.25">
      <c r="A64" s="92">
        <v>58</v>
      </c>
      <c r="B64" s="22" t="s">
        <v>71</v>
      </c>
      <c r="C64" s="95">
        <v>32622.15005</v>
      </c>
      <c r="D64" s="100">
        <v>3232.3164099999999</v>
      </c>
      <c r="E64" s="96">
        <f t="shared" si="1"/>
        <v>90.091651209237199</v>
      </c>
      <c r="F64" s="95">
        <v>7531.4</v>
      </c>
      <c r="G64" s="95">
        <v>1679.2573199999999</v>
      </c>
      <c r="H64" s="96">
        <f t="shared" si="5"/>
        <v>77.703251453912955</v>
      </c>
      <c r="I64" s="94">
        <v>0</v>
      </c>
      <c r="J64" s="94">
        <v>0</v>
      </c>
      <c r="K64" s="94">
        <v>0</v>
      </c>
      <c r="L64" s="96">
        <v>2965.26</v>
      </c>
      <c r="M64" s="96">
        <v>81.3</v>
      </c>
      <c r="N64" s="94">
        <v>0</v>
      </c>
      <c r="O64" s="94">
        <v>0</v>
      </c>
      <c r="P64" s="94">
        <v>0</v>
      </c>
      <c r="Q64" s="94">
        <v>0</v>
      </c>
      <c r="R64" s="94">
        <v>0</v>
      </c>
    </row>
    <row r="65" spans="1:64" ht="30" x14ac:dyDescent="0.25">
      <c r="A65" s="92">
        <v>59</v>
      </c>
      <c r="B65" s="22" t="s">
        <v>72</v>
      </c>
      <c r="C65" s="95">
        <v>3435.2156100000002</v>
      </c>
      <c r="D65" s="100">
        <v>1564.1137200000001</v>
      </c>
      <c r="E65" s="96">
        <f t="shared" si="1"/>
        <v>54.468251848680907</v>
      </c>
      <c r="F65" s="95">
        <v>2231.17596</v>
      </c>
      <c r="G65" s="95">
        <v>766.07759999999996</v>
      </c>
      <c r="H65" s="96">
        <f t="shared" si="5"/>
        <v>65.664850566066519</v>
      </c>
      <c r="I65" s="95">
        <v>23</v>
      </c>
      <c r="J65" s="95">
        <v>23</v>
      </c>
      <c r="K65" s="94">
        <f t="shared" si="0"/>
        <v>0</v>
      </c>
      <c r="L65" s="96">
        <v>1070.48</v>
      </c>
      <c r="M65" s="94">
        <v>0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</row>
    <row r="66" spans="1:64" ht="30" x14ac:dyDescent="0.25">
      <c r="A66" s="92">
        <v>60</v>
      </c>
      <c r="B66" s="22" t="s">
        <v>73</v>
      </c>
      <c r="C66" s="95">
        <v>4657.8463300000003</v>
      </c>
      <c r="D66" s="99">
        <v>0</v>
      </c>
      <c r="E66" s="96">
        <f t="shared" si="1"/>
        <v>100</v>
      </c>
      <c r="F66" s="95">
        <v>3037.5313299999998</v>
      </c>
      <c r="G66" s="95">
        <v>770.26662999999996</v>
      </c>
      <c r="H66" s="96">
        <f t="shared" si="5"/>
        <v>74.641689374772639</v>
      </c>
      <c r="I66" s="94">
        <v>0</v>
      </c>
      <c r="J66" s="94">
        <v>0</v>
      </c>
      <c r="K66" s="94">
        <v>0</v>
      </c>
      <c r="L66" s="96">
        <v>3274.9</v>
      </c>
      <c r="M66" s="94">
        <v>0</v>
      </c>
      <c r="N66" s="94">
        <v>0</v>
      </c>
      <c r="O66" s="94">
        <v>0</v>
      </c>
      <c r="P66" s="94">
        <v>0</v>
      </c>
      <c r="Q66" s="94">
        <v>0</v>
      </c>
      <c r="R66" s="94">
        <v>0</v>
      </c>
    </row>
    <row r="67" spans="1:64" x14ac:dyDescent="0.25">
      <c r="A67" s="92">
        <v>61</v>
      </c>
      <c r="B67" s="22" t="s">
        <v>74</v>
      </c>
      <c r="C67" s="94">
        <v>0</v>
      </c>
      <c r="D67" s="94">
        <v>0</v>
      </c>
      <c r="E67" s="94">
        <v>0</v>
      </c>
      <c r="F67" s="95">
        <v>54.135930000000002</v>
      </c>
      <c r="G67" s="95">
        <v>0</v>
      </c>
      <c r="H67" s="96">
        <f t="shared" si="5"/>
        <v>100</v>
      </c>
      <c r="I67" s="94">
        <v>0</v>
      </c>
      <c r="J67" s="94">
        <v>0</v>
      </c>
      <c r="K67" s="94">
        <v>0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94">
        <v>0</v>
      </c>
      <c r="R67" s="94">
        <v>0</v>
      </c>
    </row>
    <row r="68" spans="1:64" x14ac:dyDescent="0.25">
      <c r="A68" s="92">
        <v>62</v>
      </c>
      <c r="B68" s="22" t="s">
        <v>75</v>
      </c>
      <c r="C68" s="94">
        <v>0</v>
      </c>
      <c r="D68" s="94">
        <v>0</v>
      </c>
      <c r="E68" s="94">
        <v>0</v>
      </c>
      <c r="F68" s="95">
        <v>333.23334</v>
      </c>
      <c r="G68" s="95">
        <v>13.60225</v>
      </c>
      <c r="H68" s="96">
        <f t="shared" si="5"/>
        <v>95.918100511791522</v>
      </c>
      <c r="I68" s="94">
        <v>0</v>
      </c>
      <c r="J68" s="94">
        <v>0</v>
      </c>
      <c r="K68" s="94">
        <v>0</v>
      </c>
      <c r="L68" s="94">
        <v>0</v>
      </c>
      <c r="M68" s="94">
        <v>0</v>
      </c>
      <c r="N68" s="94">
        <v>0</v>
      </c>
      <c r="O68" s="94">
        <v>0</v>
      </c>
      <c r="P68" s="94">
        <v>0</v>
      </c>
      <c r="Q68" s="94">
        <v>0</v>
      </c>
      <c r="R68" s="94">
        <v>0</v>
      </c>
    </row>
    <row r="69" spans="1:64" x14ac:dyDescent="0.25">
      <c r="A69" s="92">
        <v>63</v>
      </c>
      <c r="B69" s="22" t="s">
        <v>76</v>
      </c>
      <c r="C69" s="94">
        <v>0</v>
      </c>
      <c r="D69" s="94">
        <v>0</v>
      </c>
      <c r="E69" s="94">
        <v>0</v>
      </c>
      <c r="F69" s="95">
        <v>1848.12165</v>
      </c>
      <c r="G69" s="95">
        <v>197.28882999999999</v>
      </c>
      <c r="H69" s="96">
        <f t="shared" si="5"/>
        <v>89.324900230458312</v>
      </c>
      <c r="I69" s="95">
        <v>197.5</v>
      </c>
      <c r="J69" s="95">
        <v>26.333359999999999</v>
      </c>
      <c r="K69" s="96">
        <f t="shared" si="0"/>
        <v>86.666653164556962</v>
      </c>
      <c r="L69" s="94">
        <v>0</v>
      </c>
      <c r="M69" s="94">
        <v>0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</row>
    <row r="70" spans="1:64" x14ac:dyDescent="0.25">
      <c r="A70" s="92">
        <v>64</v>
      </c>
      <c r="B70" s="22" t="s">
        <v>77</v>
      </c>
      <c r="C70" s="94">
        <v>0</v>
      </c>
      <c r="D70" s="94">
        <v>0</v>
      </c>
      <c r="E70" s="94">
        <v>0</v>
      </c>
      <c r="F70" s="95">
        <v>298.52818000000002</v>
      </c>
      <c r="G70" s="95">
        <v>0</v>
      </c>
      <c r="H70" s="96">
        <f t="shared" si="5"/>
        <v>100</v>
      </c>
      <c r="I70" s="94">
        <v>0</v>
      </c>
      <c r="J70" s="94">
        <v>0</v>
      </c>
      <c r="K70" s="94">
        <v>0</v>
      </c>
      <c r="L70" s="94">
        <v>0</v>
      </c>
      <c r="M70" s="94">
        <v>0</v>
      </c>
      <c r="N70" s="94">
        <v>0</v>
      </c>
      <c r="O70" s="94">
        <v>0</v>
      </c>
      <c r="P70" s="94">
        <v>0</v>
      </c>
      <c r="Q70" s="94">
        <v>0</v>
      </c>
      <c r="R70" s="94">
        <v>0</v>
      </c>
    </row>
    <row r="71" spans="1:64" x14ac:dyDescent="0.25">
      <c r="A71" s="92">
        <v>65</v>
      </c>
      <c r="B71" s="22" t="s">
        <v>78</v>
      </c>
      <c r="C71" s="94">
        <v>0</v>
      </c>
      <c r="D71" s="94">
        <v>0</v>
      </c>
      <c r="E71" s="94">
        <v>0</v>
      </c>
      <c r="F71" s="95">
        <v>1682.9032099999999</v>
      </c>
      <c r="G71" s="95">
        <v>118.92297000000001</v>
      </c>
      <c r="H71" s="96">
        <f t="shared" si="5"/>
        <v>92.933463475894129</v>
      </c>
      <c r="I71" s="94">
        <v>0</v>
      </c>
      <c r="J71" s="94">
        <v>0</v>
      </c>
      <c r="K71" s="94">
        <v>0</v>
      </c>
      <c r="L71" s="94">
        <v>0</v>
      </c>
      <c r="M71" s="94">
        <v>0</v>
      </c>
      <c r="N71" s="94">
        <v>0</v>
      </c>
      <c r="O71" s="94">
        <v>0</v>
      </c>
      <c r="P71" s="94">
        <v>0</v>
      </c>
      <c r="Q71" s="94">
        <v>0</v>
      </c>
      <c r="R71" s="94">
        <v>0</v>
      </c>
    </row>
    <row r="72" spans="1:64" ht="30" x14ac:dyDescent="0.25">
      <c r="A72" s="92">
        <v>66</v>
      </c>
      <c r="B72" s="22" t="s">
        <v>79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4">
        <v>0</v>
      </c>
      <c r="K72" s="94">
        <v>0</v>
      </c>
      <c r="L72" s="94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</row>
    <row r="73" spans="1:64" x14ac:dyDescent="0.25">
      <c r="A73" s="92">
        <v>67</v>
      </c>
      <c r="B73" s="22" t="s">
        <v>80</v>
      </c>
      <c r="C73" s="95">
        <v>6474.8639800000001</v>
      </c>
      <c r="D73" s="95">
        <v>2082.1159120000002</v>
      </c>
      <c r="E73" s="96">
        <f>((C73-D73)/C73)*100</f>
        <v>67.8430941803352</v>
      </c>
      <c r="F73" s="95">
        <v>2449.00965</v>
      </c>
      <c r="G73" s="95">
        <v>700.18813</v>
      </c>
      <c r="H73" s="96">
        <f t="shared" si="5"/>
        <v>71.409335606333769</v>
      </c>
      <c r="I73" s="94">
        <v>0</v>
      </c>
      <c r="J73" s="94">
        <v>0</v>
      </c>
      <c r="K73" s="94">
        <v>0</v>
      </c>
      <c r="L73" s="96">
        <v>1668</v>
      </c>
      <c r="M73" s="96">
        <v>271.89999999999998</v>
      </c>
      <c r="N73" s="94">
        <v>0</v>
      </c>
      <c r="O73" s="94">
        <v>0</v>
      </c>
      <c r="P73" s="94">
        <v>0</v>
      </c>
      <c r="Q73" s="94">
        <v>0</v>
      </c>
      <c r="R73" s="94">
        <v>0</v>
      </c>
    </row>
    <row r="74" spans="1:64" ht="30" x14ac:dyDescent="0.25">
      <c r="A74" s="92">
        <v>68</v>
      </c>
      <c r="B74" s="22" t="s">
        <v>81</v>
      </c>
      <c r="C74" s="94">
        <v>0</v>
      </c>
      <c r="D74" s="94">
        <v>0</v>
      </c>
      <c r="E74" s="94">
        <v>0</v>
      </c>
      <c r="F74" s="95">
        <v>336.66343000000001</v>
      </c>
      <c r="G74" s="94">
        <v>0</v>
      </c>
      <c r="H74" s="96">
        <f t="shared" si="5"/>
        <v>100</v>
      </c>
      <c r="I74" s="94">
        <v>0</v>
      </c>
      <c r="J74" s="94">
        <v>0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</row>
    <row r="75" spans="1:64" x14ac:dyDescent="0.25">
      <c r="A75" s="92">
        <v>69</v>
      </c>
      <c r="B75" s="22" t="s">
        <v>82</v>
      </c>
      <c r="C75" s="94">
        <v>0</v>
      </c>
      <c r="D75" s="94">
        <v>0</v>
      </c>
      <c r="E75" s="94">
        <v>0</v>
      </c>
      <c r="F75" s="95">
        <v>108.99036</v>
      </c>
      <c r="G75" s="94">
        <v>0</v>
      </c>
      <c r="H75" s="96">
        <f t="shared" si="5"/>
        <v>100</v>
      </c>
      <c r="I75" s="94">
        <v>0</v>
      </c>
      <c r="J75" s="94">
        <v>0</v>
      </c>
      <c r="K75" s="94">
        <v>0</v>
      </c>
      <c r="L75" s="94">
        <v>0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</row>
    <row r="76" spans="1:64" s="4" customFormat="1" ht="47.25" customHeight="1" x14ac:dyDescent="0.25">
      <c r="A76" s="64">
        <v>70</v>
      </c>
      <c r="B76" s="20" t="s">
        <v>162</v>
      </c>
      <c r="C76" s="39">
        <v>35</v>
      </c>
      <c r="D76" s="39">
        <v>2.3328700000000002</v>
      </c>
      <c r="E76" s="39">
        <f>((C76-D76)/C76)*100</f>
        <v>93.334657142857154</v>
      </c>
      <c r="F76" s="39">
        <v>0</v>
      </c>
      <c r="G76" s="39">
        <v>0</v>
      </c>
      <c r="H76" s="39">
        <v>0</v>
      </c>
      <c r="I76" s="39">
        <v>9236.6090999999997</v>
      </c>
      <c r="J76" s="39">
        <v>779.33578999999997</v>
      </c>
      <c r="K76" s="39">
        <f>((I76-J76)/I76)*100</f>
        <v>91.562533592549684</v>
      </c>
      <c r="L76" s="39">
        <f>M76+N76</f>
        <v>184.4</v>
      </c>
      <c r="M76" s="102">
        <v>24</v>
      </c>
      <c r="N76" s="102">
        <v>160.4</v>
      </c>
      <c r="O76" s="102" t="s">
        <v>161</v>
      </c>
      <c r="P76" s="39">
        <v>23.942640000000001</v>
      </c>
      <c r="Q76" s="39">
        <v>0</v>
      </c>
      <c r="R76" s="39">
        <f>P76+Q76</f>
        <v>23.942640000000001</v>
      </c>
      <c r="S76" s="3"/>
      <c r="T76" s="29" t="s">
        <v>176</v>
      </c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4" customFormat="1" ht="38.25" x14ac:dyDescent="0.25">
      <c r="A77" s="64">
        <v>71</v>
      </c>
      <c r="B77" s="20" t="s">
        <v>156</v>
      </c>
      <c r="C77" s="48">
        <v>266.2</v>
      </c>
      <c r="D77" s="48">
        <v>60.4</v>
      </c>
      <c r="E77" s="48">
        <f>((C77-D77)/C77)*100</f>
        <v>77.310293012772348</v>
      </c>
      <c r="F77" s="48">
        <v>798.7</v>
      </c>
      <c r="G77" s="48">
        <v>122.7</v>
      </c>
      <c r="H77" s="48">
        <f>((F77-G77)/F77)*100</f>
        <v>84.637535995993488</v>
      </c>
      <c r="I77" s="48">
        <v>129.9</v>
      </c>
      <c r="J77" s="48">
        <v>93.4</v>
      </c>
      <c r="K77" s="48">
        <f>((I77-J77)/I77)*100</f>
        <v>28.098537336412623</v>
      </c>
      <c r="L77" s="75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f t="shared" ref="R77:R85" si="6">P77+Q77</f>
        <v>0</v>
      </c>
      <c r="S77" s="3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4" customFormat="1" ht="38.25" x14ac:dyDescent="0.25">
      <c r="A78" s="64">
        <v>72</v>
      </c>
      <c r="B78" s="20" t="s">
        <v>157</v>
      </c>
      <c r="C78" s="39">
        <v>4493.1000000000004</v>
      </c>
      <c r="D78" s="39">
        <v>0</v>
      </c>
      <c r="E78" s="39">
        <f>((C78-D78)/C78)*100</f>
        <v>100</v>
      </c>
      <c r="F78" s="48">
        <v>1423.17302</v>
      </c>
      <c r="G78" s="48">
        <v>214.98969</v>
      </c>
      <c r="H78" s="39">
        <f>((F78-G78)/F78)*100</f>
        <v>84.89363647436204</v>
      </c>
      <c r="I78" s="39">
        <v>0</v>
      </c>
      <c r="J78" s="39">
        <v>0</v>
      </c>
      <c r="K78" s="39">
        <v>0</v>
      </c>
      <c r="L78" s="75">
        <v>0</v>
      </c>
      <c r="M78" s="39">
        <v>0</v>
      </c>
      <c r="N78" s="39">
        <v>0</v>
      </c>
      <c r="O78" s="39">
        <v>0</v>
      </c>
      <c r="P78" s="39">
        <v>0</v>
      </c>
      <c r="Q78" s="39">
        <v>0</v>
      </c>
      <c r="R78" s="39">
        <f t="shared" si="6"/>
        <v>0</v>
      </c>
      <c r="S78" s="3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4" customFormat="1" ht="38.25" x14ac:dyDescent="0.25">
      <c r="A79" s="64">
        <v>73</v>
      </c>
      <c r="B79" s="20" t="s">
        <v>158</v>
      </c>
      <c r="C79" s="39">
        <v>1053.7</v>
      </c>
      <c r="D79" s="39">
        <v>0</v>
      </c>
      <c r="E79" s="39">
        <f t="shared" ref="E79" si="7">((C79-D79)/C79)*100</f>
        <v>100</v>
      </c>
      <c r="F79" s="48">
        <f>45.6+13.2+564.9</f>
        <v>623.69999999999993</v>
      </c>
      <c r="G79" s="48">
        <f>F79-48.5-474-53.2-13.2</f>
        <v>34.799999999999926</v>
      </c>
      <c r="H79" s="39">
        <f>((F79-G79)/F79)*100</f>
        <v>94.42039442039443</v>
      </c>
      <c r="I79" s="39">
        <v>0</v>
      </c>
      <c r="J79" s="39">
        <v>0</v>
      </c>
      <c r="K79" s="39">
        <v>0</v>
      </c>
      <c r="L79" s="75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f t="shared" si="6"/>
        <v>0</v>
      </c>
      <c r="S79" s="3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4" customFormat="1" ht="38.25" x14ac:dyDescent="0.25">
      <c r="A80" s="64">
        <v>74</v>
      </c>
      <c r="B80" s="20" t="s">
        <v>159</v>
      </c>
      <c r="C80" s="48">
        <v>5421.3</v>
      </c>
      <c r="D80" s="48">
        <v>0</v>
      </c>
      <c r="E80" s="48">
        <f>((C80-D80)/C80)*100</f>
        <v>100</v>
      </c>
      <c r="F80" s="48">
        <v>1566.1</v>
      </c>
      <c r="G80" s="48">
        <v>90.3</v>
      </c>
      <c r="H80" s="48">
        <f t="shared" ref="H80:H85" si="8">((F80-G80)/F80)*100</f>
        <v>94.234084668922804</v>
      </c>
      <c r="I80" s="48">
        <v>166.7</v>
      </c>
      <c r="J80" s="48">
        <v>43.9</v>
      </c>
      <c r="K80" s="48">
        <f>((I80-J80)/I80)*100</f>
        <v>73.665266946610672</v>
      </c>
      <c r="L80" s="76">
        <v>711</v>
      </c>
      <c r="M80" s="48">
        <v>246</v>
      </c>
      <c r="N80" s="48">
        <v>0</v>
      </c>
      <c r="O80" s="48">
        <v>0</v>
      </c>
      <c r="P80" s="48">
        <v>0</v>
      </c>
      <c r="Q80" s="48">
        <v>0</v>
      </c>
      <c r="R80" s="39">
        <f t="shared" si="6"/>
        <v>0</v>
      </c>
      <c r="S80" s="3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28" customFormat="1" x14ac:dyDescent="0.25">
      <c r="A81" s="64">
        <v>75</v>
      </c>
      <c r="B81" s="7" t="s">
        <v>163</v>
      </c>
      <c r="C81" s="39">
        <v>0</v>
      </c>
      <c r="D81" s="39">
        <v>0</v>
      </c>
      <c r="E81" s="48">
        <v>0</v>
      </c>
      <c r="F81" s="39">
        <v>845.2</v>
      </c>
      <c r="G81" s="39">
        <v>233.04167000000001</v>
      </c>
      <c r="H81" s="48">
        <f t="shared" si="8"/>
        <v>72.427630146710825</v>
      </c>
      <c r="I81" s="39">
        <v>2239.0856100000001</v>
      </c>
      <c r="J81" s="39">
        <v>82.902929999999998</v>
      </c>
      <c r="K81" s="39">
        <f>((I81-J81)/I81)*100</f>
        <v>96.297464928105171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f t="shared" si="6"/>
        <v>0</v>
      </c>
      <c r="S81" s="25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64" s="29" customFormat="1" x14ac:dyDescent="0.25">
      <c r="A82" s="64">
        <v>76</v>
      </c>
      <c r="B82" s="58" t="s">
        <v>169</v>
      </c>
      <c r="C82" s="53">
        <v>20632.400000000001</v>
      </c>
      <c r="D82" s="53">
        <v>7550.6</v>
      </c>
      <c r="E82" s="48">
        <f>((C82-D82)/C82)*100</f>
        <v>63.404160446676109</v>
      </c>
      <c r="F82" s="53">
        <v>43468.5</v>
      </c>
      <c r="G82" s="53">
        <v>16160.8</v>
      </c>
      <c r="H82" s="48">
        <f t="shared" si="8"/>
        <v>62.821813497130108</v>
      </c>
      <c r="I82" s="53">
        <v>5219.1000000000004</v>
      </c>
      <c r="J82" s="53">
        <v>245.6</v>
      </c>
      <c r="K82" s="39">
        <f t="shared" ref="K82:K85" si="9">((I82-J82)/I82)*100</f>
        <v>95.294207813607699</v>
      </c>
      <c r="L82" s="53">
        <v>7791.61</v>
      </c>
      <c r="M82" s="53">
        <v>1085.8</v>
      </c>
      <c r="N82" s="53">
        <v>0</v>
      </c>
      <c r="O82" s="53">
        <v>0</v>
      </c>
      <c r="P82" s="53">
        <v>0</v>
      </c>
      <c r="Q82" s="53">
        <v>0</v>
      </c>
      <c r="R82" s="39">
        <f t="shared" si="6"/>
        <v>0</v>
      </c>
      <c r="S82" s="25"/>
    </row>
    <row r="83" spans="1:64" s="29" customFormat="1" x14ac:dyDescent="0.25">
      <c r="A83" s="64">
        <v>77</v>
      </c>
      <c r="B83" s="58" t="s">
        <v>172</v>
      </c>
      <c r="C83" s="53">
        <v>16878.7</v>
      </c>
      <c r="D83" s="53">
        <v>16793.3</v>
      </c>
      <c r="E83" s="48">
        <f>((C83-D83)/C83)*100</f>
        <v>0.50596313697145789</v>
      </c>
      <c r="F83" s="53">
        <v>297</v>
      </c>
      <c r="G83" s="53">
        <v>981.1</v>
      </c>
      <c r="H83" s="48">
        <v>0</v>
      </c>
      <c r="I83" s="53">
        <v>10854.5</v>
      </c>
      <c r="J83" s="53">
        <v>10378.4</v>
      </c>
      <c r="K83" s="39">
        <f>((I83-J83)/I83)*100</f>
        <v>4.3861992721912602</v>
      </c>
      <c r="L83" s="53">
        <v>222.57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39">
        <f t="shared" si="6"/>
        <v>0</v>
      </c>
      <c r="S83" s="25"/>
    </row>
    <row r="84" spans="1:64" s="29" customFormat="1" x14ac:dyDescent="0.25">
      <c r="A84" s="64">
        <v>78</v>
      </c>
      <c r="B84" s="58" t="s">
        <v>173</v>
      </c>
      <c r="C84" s="53">
        <v>79945.100000000006</v>
      </c>
      <c r="D84" s="53">
        <v>54033.279999999999</v>
      </c>
      <c r="E84" s="48">
        <f t="shared" ref="E84:E85" si="10">((C84-D84)/C84)*100</f>
        <v>32.412017747179007</v>
      </c>
      <c r="F84" s="53">
        <v>20826.5</v>
      </c>
      <c r="G84" s="53">
        <v>11771</v>
      </c>
      <c r="H84" s="48">
        <f t="shared" si="8"/>
        <v>43.480661657023504</v>
      </c>
      <c r="I84" s="53">
        <v>5968.5</v>
      </c>
      <c r="J84" s="53">
        <v>1054.5999999999999</v>
      </c>
      <c r="K84" s="39">
        <f t="shared" si="9"/>
        <v>82.330568819636412</v>
      </c>
      <c r="L84" s="53">
        <v>3615.2</v>
      </c>
      <c r="M84" s="53">
        <v>3615.2</v>
      </c>
      <c r="N84" s="53">
        <v>0</v>
      </c>
      <c r="O84" s="53">
        <v>0</v>
      </c>
      <c r="P84" s="53">
        <v>0</v>
      </c>
      <c r="Q84" s="53">
        <v>0</v>
      </c>
      <c r="R84" s="39">
        <f t="shared" si="6"/>
        <v>0</v>
      </c>
      <c r="S84" s="25"/>
    </row>
    <row r="85" spans="1:64" s="29" customFormat="1" ht="174.75" customHeight="1" x14ac:dyDescent="0.25">
      <c r="A85" s="64">
        <v>79</v>
      </c>
      <c r="B85" s="7" t="s">
        <v>165</v>
      </c>
      <c r="C85" s="39">
        <v>79146.23</v>
      </c>
      <c r="D85" s="39">
        <v>43097.08</v>
      </c>
      <c r="E85" s="48">
        <f t="shared" si="10"/>
        <v>45.547526395129616</v>
      </c>
      <c r="F85" s="39">
        <v>66667.649999999994</v>
      </c>
      <c r="G85" s="39">
        <v>29304.16</v>
      </c>
      <c r="H85" s="48">
        <f t="shared" si="8"/>
        <v>56.044408344976901</v>
      </c>
      <c r="I85" s="39">
        <v>19593.150000000001</v>
      </c>
      <c r="J85" s="39">
        <v>800.61</v>
      </c>
      <c r="K85" s="39">
        <f t="shared" si="9"/>
        <v>95.913827026282135</v>
      </c>
      <c r="L85" s="39">
        <v>12362.59</v>
      </c>
      <c r="M85" s="82">
        <v>11936.49</v>
      </c>
      <c r="N85" s="82">
        <v>426.1</v>
      </c>
      <c r="O85" s="82" t="s">
        <v>177</v>
      </c>
      <c r="P85" s="39">
        <v>0</v>
      </c>
      <c r="Q85" s="39">
        <v>270</v>
      </c>
      <c r="R85" s="39">
        <f t="shared" si="6"/>
        <v>270</v>
      </c>
      <c r="S85" s="25"/>
    </row>
    <row r="86" spans="1:64" s="27" customFormat="1" ht="14.25" x14ac:dyDescent="0.2">
      <c r="A86" s="65"/>
      <c r="B86" s="66" t="s">
        <v>164</v>
      </c>
      <c r="C86" s="73">
        <f>SUM(C7:C85)</f>
        <v>1514389.6201799996</v>
      </c>
      <c r="D86" s="73">
        <f>SUM(D7:D85)</f>
        <v>864625.55283199984</v>
      </c>
      <c r="E86" s="77">
        <f>((C86-D86)/C86)*100</f>
        <v>42.906003758185371</v>
      </c>
      <c r="F86" s="73">
        <f>SUM(F7:F85)</f>
        <v>412419.48173</v>
      </c>
      <c r="G86" s="73">
        <f>SUM(G7:G85)</f>
        <v>118594.04620000003</v>
      </c>
      <c r="H86" s="78">
        <f>((F86-G86)/F86)*100</f>
        <v>71.244315204866965</v>
      </c>
      <c r="I86" s="78">
        <f>SUM(I7:I85)</f>
        <v>56805.4424</v>
      </c>
      <c r="J86" s="78">
        <f>SUM(J7:J85)</f>
        <v>16401.352449999998</v>
      </c>
      <c r="K86" s="39">
        <f>((I86-J86)/I86)*100</f>
        <v>71.127145996842017</v>
      </c>
      <c r="L86" s="73">
        <f>SUM(L7:L85)</f>
        <v>148251.33000000002</v>
      </c>
      <c r="M86" s="73">
        <f>SUM(M7:M85)</f>
        <v>20510.080000000002</v>
      </c>
      <c r="N86" s="73">
        <f>SUM(N7:N85)</f>
        <v>586.5</v>
      </c>
      <c r="O86" s="73">
        <v>0</v>
      </c>
      <c r="P86" s="73">
        <f>SUM(P7:P85)</f>
        <v>23.942640000000001</v>
      </c>
      <c r="Q86" s="73">
        <f>SUM(Q7:Q85)</f>
        <v>270</v>
      </c>
      <c r="R86" s="73">
        <f>SUM(R7:R85)</f>
        <v>293.94263999999998</v>
      </c>
    </row>
  </sheetData>
  <mergeCells count="10">
    <mergeCell ref="L5:L6"/>
    <mergeCell ref="M5:N5"/>
    <mergeCell ref="O5:O6"/>
    <mergeCell ref="P5:R5"/>
    <mergeCell ref="D2:J2"/>
    <mergeCell ref="A5:A6"/>
    <mergeCell ref="B5:B6"/>
    <mergeCell ref="C5:E5"/>
    <mergeCell ref="F5:H5"/>
    <mergeCell ref="I5:K5"/>
  </mergeCells>
  <pageMargins left="0.23622047244094491" right="0.23622047244094491" top="0.74803149606299213" bottom="0.74803149606299213" header="0.31496062992125984" footer="0.31496062992125984"/>
  <pageSetup paperSize="9" scale="50" fitToHeight="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workbookViewId="0">
      <pane xSplit="2" ySplit="6" topLeftCell="C7" activePane="bottomRight" state="frozen"/>
      <selection activeCell="B84" sqref="B84"/>
      <selection pane="topRight" activeCell="B84" sqref="B84"/>
      <selection pane="bottomLeft" activeCell="B84" sqref="B84"/>
      <selection pane="bottomRight" activeCell="B77" sqref="B77"/>
    </sheetView>
  </sheetViews>
  <sheetFormatPr defaultRowHeight="15" x14ac:dyDescent="0.25"/>
  <cols>
    <col min="1" max="1" width="3.140625" style="3" customWidth="1"/>
    <col min="2" max="2" width="41.7109375" style="3" customWidth="1"/>
    <col min="3" max="3" width="12.140625" style="3" bestFit="1" customWidth="1"/>
    <col min="4" max="4" width="14.85546875" style="3" customWidth="1"/>
    <col min="5" max="5" width="16.7109375" style="3" customWidth="1"/>
    <col min="6" max="6" width="11.28515625" style="3" customWidth="1"/>
    <col min="7" max="7" width="14.85546875" style="3" customWidth="1"/>
    <col min="8" max="8" width="11.85546875" style="3" customWidth="1"/>
    <col min="9" max="10" width="14.42578125" style="3" customWidth="1"/>
    <col min="11" max="11" width="14.7109375" style="3" customWidth="1"/>
    <col min="12" max="12" width="12.28515625" style="3" customWidth="1"/>
    <col min="13" max="15" width="9.140625" style="3"/>
    <col min="16" max="16" width="13.28515625" style="3" customWidth="1"/>
    <col min="17" max="17" width="11" style="3" bestFit="1" customWidth="1"/>
    <col min="18" max="16384" width="9.140625" style="3"/>
  </cols>
  <sheetData>
    <row r="1" spans="1:17" ht="15.75" x14ac:dyDescent="0.25">
      <c r="L1" s="8" t="s">
        <v>147</v>
      </c>
    </row>
    <row r="2" spans="1:17" ht="39.75" customHeight="1" x14ac:dyDescent="0.25">
      <c r="D2" s="134" t="s">
        <v>152</v>
      </c>
      <c r="E2" s="134"/>
      <c r="F2" s="134"/>
      <c r="G2" s="134"/>
      <c r="H2" s="134"/>
      <c r="I2" s="134"/>
    </row>
    <row r="5" spans="1:17" ht="26.25" customHeight="1" x14ac:dyDescent="0.25">
      <c r="A5" s="121" t="s">
        <v>83</v>
      </c>
      <c r="B5" s="121" t="s">
        <v>91</v>
      </c>
      <c r="C5" s="121" t="s">
        <v>119</v>
      </c>
      <c r="D5" s="121"/>
      <c r="E5" s="121"/>
      <c r="F5" s="121" t="s">
        <v>120</v>
      </c>
      <c r="G5" s="121"/>
      <c r="H5" s="121"/>
      <c r="I5" s="121"/>
      <c r="J5" s="121" t="s">
        <v>121</v>
      </c>
      <c r="K5" s="121"/>
      <c r="L5" s="121"/>
    </row>
    <row r="6" spans="1:17" ht="63.75" x14ac:dyDescent="0.25">
      <c r="A6" s="121"/>
      <c r="B6" s="121"/>
      <c r="C6" s="55" t="s">
        <v>122</v>
      </c>
      <c r="D6" s="55" t="s">
        <v>123</v>
      </c>
      <c r="E6" s="55" t="s">
        <v>124</v>
      </c>
      <c r="F6" s="55" t="s">
        <v>122</v>
      </c>
      <c r="G6" s="55" t="s">
        <v>125</v>
      </c>
      <c r="H6" s="55" t="s">
        <v>126</v>
      </c>
      <c r="I6" s="55" t="s">
        <v>124</v>
      </c>
      <c r="J6" s="55" t="s">
        <v>127</v>
      </c>
      <c r="K6" s="55" t="s">
        <v>124</v>
      </c>
      <c r="L6" s="55" t="s">
        <v>0</v>
      </c>
    </row>
    <row r="7" spans="1:17" ht="25.5" x14ac:dyDescent="0.25">
      <c r="A7" s="92">
        <v>1</v>
      </c>
      <c r="B7" s="7" t="s">
        <v>15</v>
      </c>
      <c r="C7" s="39">
        <f>SUM(D7:E7)</f>
        <v>17994.3</v>
      </c>
      <c r="D7" s="39">
        <v>17994.3</v>
      </c>
      <c r="E7" s="39">
        <v>0</v>
      </c>
      <c r="F7" s="53">
        <f>SUM(G7:I7)</f>
        <v>0</v>
      </c>
      <c r="G7" s="39">
        <v>0</v>
      </c>
      <c r="H7" s="39">
        <v>0</v>
      </c>
      <c r="I7" s="39">
        <v>0</v>
      </c>
      <c r="J7" s="39">
        <f>329.44061+264.60352</f>
        <v>594.04413</v>
      </c>
      <c r="K7" s="39">
        <v>0</v>
      </c>
      <c r="L7" s="39">
        <f>SUM(J7:K7)</f>
        <v>594.04413</v>
      </c>
    </row>
    <row r="8" spans="1:17" ht="25.5" x14ac:dyDescent="0.25">
      <c r="A8" s="92">
        <v>2</v>
      </c>
      <c r="B8" s="7" t="s">
        <v>16</v>
      </c>
      <c r="C8" s="39">
        <f t="shared" ref="C8:C71" si="0">SUM(D8:E8)</f>
        <v>9001</v>
      </c>
      <c r="D8" s="39">
        <v>9001</v>
      </c>
      <c r="E8" s="39">
        <v>0</v>
      </c>
      <c r="F8" s="53">
        <f t="shared" ref="F8:F71" si="1">SUM(G8:I8)</f>
        <v>0</v>
      </c>
      <c r="G8" s="39">
        <v>0</v>
      </c>
      <c r="H8" s="39">
        <v>0</v>
      </c>
      <c r="I8" s="39">
        <v>0</v>
      </c>
      <c r="J8" s="39">
        <f>188.2405+238.91326</f>
        <v>427.15376000000003</v>
      </c>
      <c r="K8" s="39">
        <v>0</v>
      </c>
      <c r="L8" s="39">
        <f t="shared" ref="L8:L71" si="2">SUM(J8:K8)</f>
        <v>427.15376000000003</v>
      </c>
      <c r="Q8" s="18"/>
    </row>
    <row r="9" spans="1:17" ht="25.5" x14ac:dyDescent="0.25">
      <c r="A9" s="92">
        <v>3</v>
      </c>
      <c r="B9" s="7" t="s">
        <v>17</v>
      </c>
      <c r="C9" s="39">
        <f t="shared" si="0"/>
        <v>24152.3</v>
      </c>
      <c r="D9" s="39">
        <v>24152.3</v>
      </c>
      <c r="E9" s="39">
        <v>0</v>
      </c>
      <c r="F9" s="53">
        <f t="shared" si="1"/>
        <v>0</v>
      </c>
      <c r="G9" s="39">
        <v>0</v>
      </c>
      <c r="H9" s="39">
        <v>0</v>
      </c>
      <c r="I9" s="39">
        <v>0</v>
      </c>
      <c r="J9" s="39">
        <f>166.72729+332.87271</f>
        <v>499.6</v>
      </c>
      <c r="K9" s="39">
        <v>4.6812399999999998</v>
      </c>
      <c r="L9" s="39">
        <f t="shared" si="2"/>
        <v>504.28124000000003</v>
      </c>
    </row>
    <row r="10" spans="1:17" ht="25.5" x14ac:dyDescent="0.25">
      <c r="A10" s="92">
        <v>4</v>
      </c>
      <c r="B10" s="7" t="s">
        <v>18</v>
      </c>
      <c r="C10" s="39">
        <f t="shared" si="0"/>
        <v>5151.87</v>
      </c>
      <c r="D10" s="39">
        <f>4082.1+209.77+260+600</f>
        <v>5151.87</v>
      </c>
      <c r="E10" s="39">
        <v>0</v>
      </c>
      <c r="F10" s="53">
        <f t="shared" si="1"/>
        <v>0</v>
      </c>
      <c r="G10" s="39">
        <v>0</v>
      </c>
      <c r="H10" s="39">
        <v>0</v>
      </c>
      <c r="I10" s="39">
        <v>0</v>
      </c>
      <c r="J10" s="39">
        <v>298.10802000000001</v>
      </c>
      <c r="K10" s="39">
        <v>7.4174899999999999</v>
      </c>
      <c r="L10" s="39">
        <f t="shared" si="2"/>
        <v>305.52551</v>
      </c>
    </row>
    <row r="11" spans="1:17" ht="25.5" x14ac:dyDescent="0.25">
      <c r="A11" s="92">
        <v>5</v>
      </c>
      <c r="B11" s="7" t="s">
        <v>19</v>
      </c>
      <c r="C11" s="39">
        <f t="shared" si="0"/>
        <v>13792.3</v>
      </c>
      <c r="D11" s="39">
        <v>13792.3</v>
      </c>
      <c r="E11" s="39">
        <v>0</v>
      </c>
      <c r="F11" s="53">
        <f t="shared" si="1"/>
        <v>0</v>
      </c>
      <c r="G11" s="39">
        <v>0</v>
      </c>
      <c r="H11" s="39">
        <v>0</v>
      </c>
      <c r="I11" s="39">
        <v>0</v>
      </c>
      <c r="J11" s="39">
        <v>682.96825000000001</v>
      </c>
      <c r="K11" s="39">
        <v>0</v>
      </c>
      <c r="L11" s="39">
        <f t="shared" si="2"/>
        <v>682.96825000000001</v>
      </c>
    </row>
    <row r="12" spans="1:17" ht="25.5" x14ac:dyDescent="0.25">
      <c r="A12" s="92">
        <v>6</v>
      </c>
      <c r="B12" s="7" t="s">
        <v>20</v>
      </c>
      <c r="C12" s="75">
        <f t="shared" si="0"/>
        <v>18652.662799999998</v>
      </c>
      <c r="D12" s="39">
        <f>4670+13982.6628</f>
        <v>18652.662799999998</v>
      </c>
      <c r="E12" s="39">
        <v>0</v>
      </c>
      <c r="F12" s="53">
        <f t="shared" si="1"/>
        <v>0</v>
      </c>
      <c r="G12" s="39">
        <v>0</v>
      </c>
      <c r="H12" s="39">
        <v>0</v>
      </c>
      <c r="I12" s="39">
        <v>0</v>
      </c>
      <c r="J12" s="39">
        <v>1085.9367199999999</v>
      </c>
      <c r="K12" s="39">
        <v>0</v>
      </c>
      <c r="L12" s="39">
        <f t="shared" si="2"/>
        <v>1085.9367199999999</v>
      </c>
    </row>
    <row r="13" spans="1:17" x14ac:dyDescent="0.25">
      <c r="A13" s="92">
        <v>7</v>
      </c>
      <c r="B13" s="7" t="s">
        <v>21</v>
      </c>
      <c r="C13" s="75">
        <f t="shared" si="0"/>
        <v>52237.1</v>
      </c>
      <c r="D13" s="75">
        <f>48202.5+4034.6</f>
        <v>52237.1</v>
      </c>
      <c r="E13" s="39">
        <v>0</v>
      </c>
      <c r="F13" s="53">
        <f t="shared" si="1"/>
        <v>0</v>
      </c>
      <c r="G13" s="39">
        <v>0</v>
      </c>
      <c r="H13" s="39">
        <v>0</v>
      </c>
      <c r="I13" s="39">
        <v>0</v>
      </c>
      <c r="J13" s="39">
        <v>1145.93328</v>
      </c>
      <c r="K13" s="39">
        <v>0</v>
      </c>
      <c r="L13" s="39">
        <f t="shared" si="2"/>
        <v>1145.93328</v>
      </c>
    </row>
    <row r="14" spans="1:17" x14ac:dyDescent="0.25">
      <c r="A14" s="92">
        <v>8</v>
      </c>
      <c r="B14" s="7" t="s">
        <v>22</v>
      </c>
      <c r="C14" s="75">
        <f t="shared" si="0"/>
        <v>0</v>
      </c>
      <c r="D14" s="75">
        <v>0</v>
      </c>
      <c r="E14" s="39">
        <v>0</v>
      </c>
      <c r="F14" s="53">
        <f t="shared" si="1"/>
        <v>132.24</v>
      </c>
      <c r="G14" s="39">
        <v>0</v>
      </c>
      <c r="H14" s="39">
        <v>132.24</v>
      </c>
      <c r="I14" s="39">
        <v>0</v>
      </c>
      <c r="J14" s="39">
        <f>1231.62064+1173.20404</f>
        <v>2404.8246800000002</v>
      </c>
      <c r="K14" s="39">
        <v>0</v>
      </c>
      <c r="L14" s="39">
        <f t="shared" si="2"/>
        <v>2404.8246800000002</v>
      </c>
    </row>
    <row r="15" spans="1:17" ht="17.25" customHeight="1" x14ac:dyDescent="0.25">
      <c r="A15" s="92">
        <v>9</v>
      </c>
      <c r="B15" s="7" t="s">
        <v>23</v>
      </c>
      <c r="C15" s="39">
        <f t="shared" si="0"/>
        <v>4164.92</v>
      </c>
      <c r="D15" s="39">
        <v>4164.92</v>
      </c>
      <c r="E15" s="39">
        <v>0</v>
      </c>
      <c r="F15" s="53">
        <f t="shared" si="1"/>
        <v>0</v>
      </c>
      <c r="G15" s="39">
        <v>0</v>
      </c>
      <c r="H15" s="39">
        <v>0</v>
      </c>
      <c r="I15" s="39">
        <v>0</v>
      </c>
      <c r="J15" s="39">
        <v>1588.3685</v>
      </c>
      <c r="K15" s="39">
        <v>0</v>
      </c>
      <c r="L15" s="39">
        <f t="shared" si="2"/>
        <v>1588.3685</v>
      </c>
    </row>
    <row r="16" spans="1:17" x14ac:dyDescent="0.25">
      <c r="A16" s="92">
        <v>10</v>
      </c>
      <c r="B16" s="7" t="s">
        <v>24</v>
      </c>
      <c r="C16" s="39">
        <f t="shared" si="0"/>
        <v>0</v>
      </c>
      <c r="D16" s="39">
        <v>0</v>
      </c>
      <c r="E16" s="39">
        <v>0</v>
      </c>
      <c r="F16" s="53">
        <f t="shared" si="1"/>
        <v>0</v>
      </c>
      <c r="G16" s="39">
        <v>0</v>
      </c>
      <c r="H16" s="39">
        <v>0</v>
      </c>
      <c r="I16" s="39">
        <v>0</v>
      </c>
      <c r="J16" s="39">
        <f>240.81661+280.0917</f>
        <v>520.90831000000003</v>
      </c>
      <c r="K16" s="39">
        <v>0</v>
      </c>
      <c r="L16" s="39">
        <f t="shared" si="2"/>
        <v>520.90831000000003</v>
      </c>
    </row>
    <row r="17" spans="1:12" x14ac:dyDescent="0.25">
      <c r="A17" s="92">
        <v>11</v>
      </c>
      <c r="B17" s="7" t="s">
        <v>25</v>
      </c>
      <c r="C17" s="75">
        <f t="shared" si="0"/>
        <v>22185</v>
      </c>
      <c r="D17" s="39">
        <f>685+21500</f>
        <v>22185</v>
      </c>
      <c r="E17" s="39">
        <v>0</v>
      </c>
      <c r="F17" s="53">
        <f t="shared" si="1"/>
        <v>0</v>
      </c>
      <c r="G17" s="39">
        <v>0</v>
      </c>
      <c r="H17" s="39">
        <v>0</v>
      </c>
      <c r="I17" s="39">
        <v>0</v>
      </c>
      <c r="J17" s="39">
        <v>3013.1911599999999</v>
      </c>
      <c r="K17" s="39">
        <v>0</v>
      </c>
      <c r="L17" s="39">
        <f t="shared" si="2"/>
        <v>3013.1911599999999</v>
      </c>
    </row>
    <row r="18" spans="1:12" x14ac:dyDescent="0.25">
      <c r="A18" s="92">
        <v>12</v>
      </c>
      <c r="B18" s="7" t="s">
        <v>26</v>
      </c>
      <c r="C18" s="39">
        <f t="shared" si="0"/>
        <v>0</v>
      </c>
      <c r="D18" s="39"/>
      <c r="E18" s="39">
        <v>0</v>
      </c>
      <c r="F18" s="53">
        <f t="shared" si="1"/>
        <v>0</v>
      </c>
      <c r="G18" s="39">
        <v>0</v>
      </c>
      <c r="H18" s="39">
        <v>0</v>
      </c>
      <c r="I18" s="39">
        <v>0</v>
      </c>
      <c r="J18" s="39">
        <v>2317.67841</v>
      </c>
      <c r="K18" s="39">
        <v>0</v>
      </c>
      <c r="L18" s="39">
        <f t="shared" si="2"/>
        <v>2317.67841</v>
      </c>
    </row>
    <row r="19" spans="1:12" x14ac:dyDescent="0.25">
      <c r="A19" s="92">
        <v>13</v>
      </c>
      <c r="B19" s="7" t="s">
        <v>27</v>
      </c>
      <c r="C19" s="39">
        <f t="shared" si="0"/>
        <v>0</v>
      </c>
      <c r="D19" s="39"/>
      <c r="E19" s="39">
        <v>0</v>
      </c>
      <c r="F19" s="53">
        <f t="shared" si="1"/>
        <v>300</v>
      </c>
      <c r="G19" s="39">
        <v>0</v>
      </c>
      <c r="H19" s="39">
        <v>300</v>
      </c>
      <c r="I19" s="39">
        <v>0</v>
      </c>
      <c r="J19" s="39">
        <f>1099.85224+3043.73415</f>
        <v>4143.5863900000004</v>
      </c>
      <c r="K19" s="39">
        <v>0</v>
      </c>
      <c r="L19" s="39">
        <f t="shared" si="2"/>
        <v>4143.5863900000004</v>
      </c>
    </row>
    <row r="20" spans="1:12" ht="25.5" x14ac:dyDescent="0.25">
      <c r="A20" s="92">
        <v>14</v>
      </c>
      <c r="B20" s="7" t="s">
        <v>28</v>
      </c>
      <c r="C20" s="39">
        <f t="shared" si="0"/>
        <v>600</v>
      </c>
      <c r="D20" s="39">
        <f>292.152+307.848</f>
        <v>600</v>
      </c>
      <c r="E20" s="39">
        <v>0</v>
      </c>
      <c r="F20" s="53">
        <f t="shared" si="1"/>
        <v>0</v>
      </c>
      <c r="G20" s="39">
        <v>0</v>
      </c>
      <c r="H20" s="39">
        <v>0</v>
      </c>
      <c r="I20" s="39">
        <v>0</v>
      </c>
      <c r="J20" s="39">
        <v>546.00490000000002</v>
      </c>
      <c r="K20" s="39">
        <v>0</v>
      </c>
      <c r="L20" s="39">
        <f t="shared" si="2"/>
        <v>546.00490000000002</v>
      </c>
    </row>
    <row r="21" spans="1:12" ht="25.5" x14ac:dyDescent="0.25">
      <c r="A21" s="92">
        <v>15</v>
      </c>
      <c r="B21" s="7" t="s">
        <v>29</v>
      </c>
      <c r="C21" s="39">
        <f t="shared" si="0"/>
        <v>0</v>
      </c>
      <c r="D21" s="39">
        <v>0</v>
      </c>
      <c r="E21" s="39">
        <v>0</v>
      </c>
      <c r="F21" s="53">
        <f t="shared" si="1"/>
        <v>0</v>
      </c>
      <c r="G21" s="39">
        <v>0</v>
      </c>
      <c r="H21" s="39">
        <v>0</v>
      </c>
      <c r="I21" s="39">
        <v>0</v>
      </c>
      <c r="J21" s="39">
        <v>591.17646000000002</v>
      </c>
      <c r="K21" s="39">
        <v>0</v>
      </c>
      <c r="L21" s="39">
        <f t="shared" si="2"/>
        <v>591.17646000000002</v>
      </c>
    </row>
    <row r="22" spans="1:12" ht="25.5" x14ac:dyDescent="0.25">
      <c r="A22" s="92">
        <v>16</v>
      </c>
      <c r="B22" s="7" t="s">
        <v>30</v>
      </c>
      <c r="C22" s="39">
        <f t="shared" si="0"/>
        <v>0</v>
      </c>
      <c r="D22" s="39">
        <v>0</v>
      </c>
      <c r="E22" s="39">
        <v>0</v>
      </c>
      <c r="F22" s="53">
        <f t="shared" si="1"/>
        <v>0</v>
      </c>
      <c r="G22" s="39">
        <v>0</v>
      </c>
      <c r="H22" s="39">
        <v>0</v>
      </c>
      <c r="I22" s="39">
        <v>0</v>
      </c>
      <c r="J22" s="39">
        <v>724.59765000000004</v>
      </c>
      <c r="K22" s="39">
        <v>0</v>
      </c>
      <c r="L22" s="39">
        <f t="shared" si="2"/>
        <v>724.59765000000004</v>
      </c>
    </row>
    <row r="23" spans="1:12" x14ac:dyDescent="0.25">
      <c r="A23" s="92">
        <v>17</v>
      </c>
      <c r="B23" s="7" t="s">
        <v>31</v>
      </c>
      <c r="C23" s="39">
        <f t="shared" si="0"/>
        <v>0</v>
      </c>
      <c r="D23" s="39">
        <v>0</v>
      </c>
      <c r="E23" s="39">
        <v>0</v>
      </c>
      <c r="F23" s="53">
        <f t="shared" si="1"/>
        <v>0</v>
      </c>
      <c r="G23" s="39">
        <v>0</v>
      </c>
      <c r="H23" s="39">
        <v>0</v>
      </c>
      <c r="I23" s="39">
        <v>0</v>
      </c>
      <c r="J23" s="39">
        <v>383.53890999999999</v>
      </c>
      <c r="K23" s="39">
        <v>0</v>
      </c>
      <c r="L23" s="39">
        <f t="shared" si="2"/>
        <v>383.53890999999999</v>
      </c>
    </row>
    <row r="24" spans="1:12" ht="25.5" x14ac:dyDescent="0.25">
      <c r="A24" s="92">
        <v>18</v>
      </c>
      <c r="B24" s="7" t="s">
        <v>32</v>
      </c>
      <c r="C24" s="75">
        <f t="shared" si="0"/>
        <v>0</v>
      </c>
      <c r="D24" s="39"/>
      <c r="E24" s="39">
        <v>0</v>
      </c>
      <c r="F24" s="53">
        <f t="shared" si="1"/>
        <v>650</v>
      </c>
      <c r="G24" s="39">
        <v>0</v>
      </c>
      <c r="H24" s="39">
        <v>650</v>
      </c>
      <c r="I24" s="39">
        <v>0</v>
      </c>
      <c r="J24" s="39">
        <v>621.86577</v>
      </c>
      <c r="K24" s="39">
        <v>0</v>
      </c>
      <c r="L24" s="39">
        <f t="shared" si="2"/>
        <v>621.86577</v>
      </c>
    </row>
    <row r="25" spans="1:12" ht="25.5" x14ac:dyDescent="0.25">
      <c r="A25" s="92">
        <v>19</v>
      </c>
      <c r="B25" s="7" t="s">
        <v>33</v>
      </c>
      <c r="C25" s="39">
        <f>SUM(D25:E25)</f>
        <v>1850</v>
      </c>
      <c r="D25" s="39">
        <f>1850</f>
        <v>1850</v>
      </c>
      <c r="E25" s="39">
        <v>0</v>
      </c>
      <c r="F25" s="53">
        <f t="shared" si="1"/>
        <v>97.24</v>
      </c>
      <c r="G25" s="39">
        <v>0</v>
      </c>
      <c r="H25" s="39">
        <v>97.24</v>
      </c>
      <c r="I25" s="39">
        <v>0</v>
      </c>
      <c r="J25" s="39">
        <v>387.66176999999999</v>
      </c>
      <c r="K25" s="39">
        <v>0</v>
      </c>
      <c r="L25" s="39">
        <f t="shared" si="2"/>
        <v>387.66176999999999</v>
      </c>
    </row>
    <row r="26" spans="1:12" x14ac:dyDescent="0.25">
      <c r="A26" s="92">
        <v>20</v>
      </c>
      <c r="B26" s="7" t="s">
        <v>34</v>
      </c>
      <c r="C26" s="39">
        <f t="shared" si="0"/>
        <v>0</v>
      </c>
      <c r="D26" s="39">
        <v>0</v>
      </c>
      <c r="E26" s="39">
        <v>0</v>
      </c>
      <c r="F26" s="53">
        <f t="shared" si="1"/>
        <v>0</v>
      </c>
      <c r="G26" s="39">
        <v>0</v>
      </c>
      <c r="H26" s="39">
        <v>0</v>
      </c>
      <c r="I26" s="39">
        <v>0</v>
      </c>
      <c r="J26" s="39">
        <v>263.77051999999998</v>
      </c>
      <c r="K26" s="39">
        <v>0</v>
      </c>
      <c r="L26" s="39">
        <f t="shared" si="2"/>
        <v>263.77051999999998</v>
      </c>
    </row>
    <row r="27" spans="1:12" x14ac:dyDescent="0.25">
      <c r="A27" s="92">
        <v>21</v>
      </c>
      <c r="B27" s="7" t="s">
        <v>35</v>
      </c>
      <c r="C27" s="39">
        <f t="shared" si="0"/>
        <v>0</v>
      </c>
      <c r="D27" s="39">
        <v>0</v>
      </c>
      <c r="E27" s="39">
        <v>0</v>
      </c>
      <c r="F27" s="53">
        <f t="shared" si="1"/>
        <v>0</v>
      </c>
      <c r="G27" s="39">
        <v>0</v>
      </c>
      <c r="H27" s="39">
        <v>0</v>
      </c>
      <c r="I27" s="39">
        <v>0</v>
      </c>
      <c r="J27" s="39">
        <v>336.50353000000001</v>
      </c>
      <c r="K27" s="39">
        <v>0</v>
      </c>
      <c r="L27" s="39">
        <f t="shared" si="2"/>
        <v>336.50353000000001</v>
      </c>
    </row>
    <row r="28" spans="1:12" ht="25.5" x14ac:dyDescent="0.25">
      <c r="A28" s="92">
        <v>22</v>
      </c>
      <c r="B28" s="7" t="s">
        <v>36</v>
      </c>
      <c r="C28" s="39">
        <f t="shared" si="0"/>
        <v>0</v>
      </c>
      <c r="D28" s="39">
        <v>0</v>
      </c>
      <c r="E28" s="39">
        <v>0</v>
      </c>
      <c r="F28" s="53">
        <f t="shared" si="1"/>
        <v>0</v>
      </c>
      <c r="G28" s="39">
        <v>0</v>
      </c>
      <c r="H28" s="39">
        <v>0</v>
      </c>
      <c r="I28" s="39">
        <v>0</v>
      </c>
      <c r="J28" s="39">
        <v>268.28251999999998</v>
      </c>
      <c r="K28" s="39">
        <v>0</v>
      </c>
      <c r="L28" s="39">
        <f t="shared" si="2"/>
        <v>268.28251999999998</v>
      </c>
    </row>
    <row r="29" spans="1:12" ht="25.5" x14ac:dyDescent="0.25">
      <c r="A29" s="92">
        <v>23</v>
      </c>
      <c r="B29" s="7" t="s">
        <v>134</v>
      </c>
      <c r="C29" s="39">
        <f t="shared" si="0"/>
        <v>0</v>
      </c>
      <c r="D29" s="39">
        <v>0</v>
      </c>
      <c r="E29" s="39">
        <v>0</v>
      </c>
      <c r="F29" s="53">
        <f t="shared" si="1"/>
        <v>50</v>
      </c>
      <c r="G29" s="39">
        <v>0</v>
      </c>
      <c r="H29" s="39">
        <v>50</v>
      </c>
      <c r="I29" s="39">
        <v>0</v>
      </c>
      <c r="J29" s="39">
        <v>425.87387999999999</v>
      </c>
      <c r="K29" s="39">
        <v>0</v>
      </c>
      <c r="L29" s="39">
        <f t="shared" si="2"/>
        <v>425.87387999999999</v>
      </c>
    </row>
    <row r="30" spans="1:12" x14ac:dyDescent="0.25">
      <c r="A30" s="92">
        <v>24</v>
      </c>
      <c r="B30" s="7" t="s">
        <v>37</v>
      </c>
      <c r="C30" s="39">
        <f t="shared" si="0"/>
        <v>0</v>
      </c>
      <c r="D30" s="39">
        <v>0</v>
      </c>
      <c r="E30" s="39">
        <v>0</v>
      </c>
      <c r="F30" s="53">
        <f t="shared" si="1"/>
        <v>750</v>
      </c>
      <c r="G30" s="39">
        <v>0</v>
      </c>
      <c r="H30" s="39">
        <v>750</v>
      </c>
      <c r="I30" s="39">
        <v>0</v>
      </c>
      <c r="J30" s="39">
        <v>463.48322000000002</v>
      </c>
      <c r="K30" s="39">
        <v>0</v>
      </c>
      <c r="L30" s="39">
        <f t="shared" si="2"/>
        <v>463.48322000000002</v>
      </c>
    </row>
    <row r="31" spans="1:12" x14ac:dyDescent="0.25">
      <c r="A31" s="92">
        <v>25</v>
      </c>
      <c r="B31" s="7" t="s">
        <v>38</v>
      </c>
      <c r="C31" s="39">
        <f t="shared" si="0"/>
        <v>0</v>
      </c>
      <c r="D31" s="39">
        <v>0</v>
      </c>
      <c r="E31" s="39">
        <v>0</v>
      </c>
      <c r="F31" s="53">
        <f t="shared" si="1"/>
        <v>0</v>
      </c>
      <c r="G31" s="39">
        <v>0</v>
      </c>
      <c r="H31" s="39">
        <v>0</v>
      </c>
      <c r="I31" s="39">
        <v>0</v>
      </c>
      <c r="J31" s="39">
        <v>1107.2446199999999</v>
      </c>
      <c r="K31" s="39">
        <v>0</v>
      </c>
      <c r="L31" s="39">
        <f t="shared" si="2"/>
        <v>1107.2446199999999</v>
      </c>
    </row>
    <row r="32" spans="1:12" ht="25.5" x14ac:dyDescent="0.25">
      <c r="A32" s="92">
        <v>26</v>
      </c>
      <c r="B32" s="7" t="s">
        <v>39</v>
      </c>
      <c r="C32" s="39">
        <f t="shared" si="0"/>
        <v>0</v>
      </c>
      <c r="D32" s="39">
        <v>0</v>
      </c>
      <c r="E32" s="39">
        <v>0</v>
      </c>
      <c r="F32" s="53">
        <f t="shared" si="1"/>
        <v>0</v>
      </c>
      <c r="G32" s="39">
        <v>0</v>
      </c>
      <c r="H32" s="39">
        <v>0</v>
      </c>
      <c r="I32" s="39">
        <v>0</v>
      </c>
      <c r="J32" s="39">
        <v>986.68434000000002</v>
      </c>
      <c r="K32" s="39">
        <v>0</v>
      </c>
      <c r="L32" s="39">
        <f t="shared" si="2"/>
        <v>986.68434000000002</v>
      </c>
    </row>
    <row r="33" spans="1:12" ht="25.5" x14ac:dyDescent="0.25">
      <c r="A33" s="92">
        <v>27</v>
      </c>
      <c r="B33" s="7" t="s">
        <v>40</v>
      </c>
      <c r="C33" s="39">
        <f t="shared" si="0"/>
        <v>297</v>
      </c>
      <c r="D33" s="39">
        <v>297</v>
      </c>
      <c r="E33" s="39">
        <v>0</v>
      </c>
      <c r="F33" s="53">
        <f t="shared" si="1"/>
        <v>0</v>
      </c>
      <c r="G33" s="39">
        <v>0</v>
      </c>
      <c r="H33" s="39">
        <v>0</v>
      </c>
      <c r="I33" s="39">
        <v>0</v>
      </c>
      <c r="J33" s="39">
        <v>1146.2597499999999</v>
      </c>
      <c r="K33" s="39">
        <v>10.569889999999999</v>
      </c>
      <c r="L33" s="39">
        <f t="shared" si="2"/>
        <v>1156.8296399999999</v>
      </c>
    </row>
    <row r="34" spans="1:12" ht="25.5" x14ac:dyDescent="0.25">
      <c r="A34" s="92">
        <v>28</v>
      </c>
      <c r="B34" s="7" t="s">
        <v>41</v>
      </c>
      <c r="C34" s="39">
        <f t="shared" si="0"/>
        <v>1440</v>
      </c>
      <c r="D34" s="39">
        <v>1440</v>
      </c>
      <c r="E34" s="39">
        <v>0</v>
      </c>
      <c r="F34" s="53">
        <f t="shared" si="1"/>
        <v>0</v>
      </c>
      <c r="G34" s="39">
        <v>0</v>
      </c>
      <c r="H34" s="39">
        <v>0</v>
      </c>
      <c r="I34" s="39">
        <v>0</v>
      </c>
      <c r="J34" s="39">
        <v>826.75914</v>
      </c>
      <c r="K34" s="39">
        <v>0</v>
      </c>
      <c r="L34" s="39">
        <f t="shared" si="2"/>
        <v>826.75914</v>
      </c>
    </row>
    <row r="35" spans="1:12" ht="25.5" x14ac:dyDescent="0.25">
      <c r="A35" s="92">
        <v>29</v>
      </c>
      <c r="B35" s="7" t="s">
        <v>42</v>
      </c>
      <c r="C35" s="39">
        <f t="shared" si="0"/>
        <v>0</v>
      </c>
      <c r="D35" s="39">
        <v>0</v>
      </c>
      <c r="E35" s="39">
        <v>0</v>
      </c>
      <c r="F35" s="53">
        <f t="shared" si="1"/>
        <v>0</v>
      </c>
      <c r="G35" s="39">
        <v>0</v>
      </c>
      <c r="H35" s="39">
        <v>0</v>
      </c>
      <c r="I35" s="39">
        <v>0</v>
      </c>
      <c r="J35" s="39">
        <v>64.882620000000003</v>
      </c>
      <c r="K35" s="39">
        <v>0</v>
      </c>
      <c r="L35" s="39">
        <f>SUM(J35:K35)</f>
        <v>64.882620000000003</v>
      </c>
    </row>
    <row r="36" spans="1:12" x14ac:dyDescent="0.25">
      <c r="A36" s="92">
        <v>30</v>
      </c>
      <c r="B36" s="7" t="s">
        <v>43</v>
      </c>
      <c r="C36" s="39">
        <f t="shared" si="0"/>
        <v>0</v>
      </c>
      <c r="D36" s="39">
        <v>0</v>
      </c>
      <c r="E36" s="39">
        <v>0</v>
      </c>
      <c r="F36" s="53">
        <f t="shared" si="1"/>
        <v>220.76</v>
      </c>
      <c r="G36" s="39">
        <v>0</v>
      </c>
      <c r="H36" s="39">
        <v>220.76</v>
      </c>
      <c r="I36" s="39">
        <v>0</v>
      </c>
      <c r="J36" s="39">
        <v>936.58455000000004</v>
      </c>
      <c r="K36" s="39">
        <v>0</v>
      </c>
      <c r="L36" s="39">
        <f t="shared" si="2"/>
        <v>936.58455000000004</v>
      </c>
    </row>
    <row r="37" spans="1:12" ht="25.5" x14ac:dyDescent="0.25">
      <c r="A37" s="92">
        <v>31</v>
      </c>
      <c r="B37" s="7" t="s">
        <v>44</v>
      </c>
      <c r="C37" s="39">
        <f t="shared" si="0"/>
        <v>0</v>
      </c>
      <c r="D37" s="39">
        <v>0</v>
      </c>
      <c r="E37" s="39">
        <v>0</v>
      </c>
      <c r="F37" s="53">
        <f t="shared" si="1"/>
        <v>0</v>
      </c>
      <c r="G37" s="39">
        <v>0</v>
      </c>
      <c r="H37" s="39">
        <v>0</v>
      </c>
      <c r="I37" s="39">
        <v>0</v>
      </c>
      <c r="J37" s="39">
        <v>393.61347000000001</v>
      </c>
      <c r="K37" s="39">
        <v>0</v>
      </c>
      <c r="L37" s="39">
        <f t="shared" si="2"/>
        <v>393.61347000000001</v>
      </c>
    </row>
    <row r="38" spans="1:12" ht="25.5" x14ac:dyDescent="0.25">
      <c r="A38" s="92">
        <v>32</v>
      </c>
      <c r="B38" s="7" t="s">
        <v>45</v>
      </c>
      <c r="C38" s="39">
        <f t="shared" si="0"/>
        <v>0</v>
      </c>
      <c r="D38" s="39">
        <v>0</v>
      </c>
      <c r="E38" s="39">
        <v>0</v>
      </c>
      <c r="F38" s="53">
        <f t="shared" si="1"/>
        <v>150</v>
      </c>
      <c r="G38" s="39">
        <v>0</v>
      </c>
      <c r="H38" s="39">
        <v>150</v>
      </c>
      <c r="I38" s="39">
        <v>0</v>
      </c>
      <c r="J38" s="39">
        <v>464.00241999999997</v>
      </c>
      <c r="K38" s="39">
        <v>0</v>
      </c>
      <c r="L38" s="39">
        <f t="shared" si="2"/>
        <v>464.00241999999997</v>
      </c>
    </row>
    <row r="39" spans="1:12" x14ac:dyDescent="0.25">
      <c r="A39" s="92">
        <v>33</v>
      </c>
      <c r="B39" s="7" t="s">
        <v>46</v>
      </c>
      <c r="C39" s="39">
        <f t="shared" si="0"/>
        <v>0</v>
      </c>
      <c r="D39" s="39">
        <v>0</v>
      </c>
      <c r="E39" s="39">
        <v>0</v>
      </c>
      <c r="F39" s="53">
        <f t="shared" si="1"/>
        <v>0</v>
      </c>
      <c r="G39" s="39">
        <v>0</v>
      </c>
      <c r="H39" s="39">
        <v>0</v>
      </c>
      <c r="I39" s="39">
        <v>0</v>
      </c>
      <c r="J39" s="39">
        <v>1665.63147</v>
      </c>
      <c r="K39" s="39">
        <v>0</v>
      </c>
      <c r="L39" s="39">
        <f t="shared" si="2"/>
        <v>1665.63147</v>
      </c>
    </row>
    <row r="40" spans="1:12" x14ac:dyDescent="0.25">
      <c r="A40" s="92">
        <v>34</v>
      </c>
      <c r="B40" s="7" t="s">
        <v>47</v>
      </c>
      <c r="C40" s="39">
        <f t="shared" si="0"/>
        <v>0</v>
      </c>
      <c r="D40" s="39">
        <v>0</v>
      </c>
      <c r="E40" s="39">
        <v>0</v>
      </c>
      <c r="F40" s="53">
        <f t="shared" si="1"/>
        <v>0</v>
      </c>
      <c r="G40" s="39">
        <v>0</v>
      </c>
      <c r="H40" s="39">
        <v>0</v>
      </c>
      <c r="I40" s="39">
        <v>0</v>
      </c>
      <c r="J40" s="39">
        <v>1785.18327</v>
      </c>
      <c r="K40" s="39">
        <v>0</v>
      </c>
      <c r="L40" s="39">
        <f t="shared" si="2"/>
        <v>1785.18327</v>
      </c>
    </row>
    <row r="41" spans="1:12" ht="25.5" x14ac:dyDescent="0.25">
      <c r="A41" s="92">
        <v>35</v>
      </c>
      <c r="B41" s="7" t="s">
        <v>48</v>
      </c>
      <c r="C41" s="39">
        <f t="shared" si="0"/>
        <v>0</v>
      </c>
      <c r="D41" s="39">
        <v>0</v>
      </c>
      <c r="E41" s="39">
        <v>0</v>
      </c>
      <c r="F41" s="53">
        <f t="shared" si="1"/>
        <v>0</v>
      </c>
      <c r="G41" s="39">
        <v>0</v>
      </c>
      <c r="H41" s="39">
        <v>0</v>
      </c>
      <c r="I41" s="39">
        <v>0</v>
      </c>
      <c r="J41" s="39">
        <v>233.83509000000001</v>
      </c>
      <c r="K41" s="39">
        <v>0</v>
      </c>
      <c r="L41" s="39">
        <f t="shared" si="2"/>
        <v>233.83509000000001</v>
      </c>
    </row>
    <row r="42" spans="1:12" ht="25.5" x14ac:dyDescent="0.25">
      <c r="A42" s="92">
        <v>36</v>
      </c>
      <c r="B42" s="7" t="s">
        <v>49</v>
      </c>
      <c r="C42" s="39">
        <f t="shared" si="0"/>
        <v>0</v>
      </c>
      <c r="D42" s="39">
        <v>0</v>
      </c>
      <c r="E42" s="39">
        <v>0</v>
      </c>
      <c r="F42" s="53">
        <f t="shared" si="1"/>
        <v>0</v>
      </c>
      <c r="G42" s="39">
        <v>0</v>
      </c>
      <c r="H42" s="39">
        <v>0</v>
      </c>
      <c r="I42" s="39">
        <v>0</v>
      </c>
      <c r="J42" s="39">
        <v>144.74484000000001</v>
      </c>
      <c r="K42" s="39">
        <v>0</v>
      </c>
      <c r="L42" s="39">
        <f t="shared" si="2"/>
        <v>144.74484000000001</v>
      </c>
    </row>
    <row r="43" spans="1:12" x14ac:dyDescent="0.25">
      <c r="A43" s="92">
        <v>37</v>
      </c>
      <c r="B43" s="7" t="s">
        <v>50</v>
      </c>
      <c r="C43" s="39">
        <f t="shared" si="0"/>
        <v>0</v>
      </c>
      <c r="D43" s="39">
        <v>0</v>
      </c>
      <c r="E43" s="39">
        <v>0</v>
      </c>
      <c r="F43" s="53">
        <f t="shared" si="1"/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f t="shared" si="2"/>
        <v>0</v>
      </c>
    </row>
    <row r="44" spans="1:12" ht="25.5" x14ac:dyDescent="0.25">
      <c r="A44" s="92">
        <v>38</v>
      </c>
      <c r="B44" s="7" t="s">
        <v>51</v>
      </c>
      <c r="C44" s="75">
        <f t="shared" si="0"/>
        <v>0</v>
      </c>
      <c r="D44" s="39">
        <v>0</v>
      </c>
      <c r="E44" s="39">
        <v>0</v>
      </c>
      <c r="F44" s="53">
        <f t="shared" si="1"/>
        <v>650</v>
      </c>
      <c r="G44" s="39">
        <v>0</v>
      </c>
      <c r="H44" s="39">
        <v>650</v>
      </c>
      <c r="I44" s="39">
        <v>0</v>
      </c>
      <c r="J44" s="39">
        <v>1708.4153899999999</v>
      </c>
      <c r="K44" s="39">
        <v>0</v>
      </c>
      <c r="L44" s="39">
        <f t="shared" si="2"/>
        <v>1708.4153899999999</v>
      </c>
    </row>
    <row r="45" spans="1:12" x14ac:dyDescent="0.25">
      <c r="A45" s="92">
        <v>39</v>
      </c>
      <c r="B45" s="7" t="s">
        <v>52</v>
      </c>
      <c r="C45" s="39">
        <f t="shared" si="0"/>
        <v>0</v>
      </c>
      <c r="D45" s="39">
        <v>0</v>
      </c>
      <c r="E45" s="39">
        <v>0</v>
      </c>
      <c r="F45" s="53">
        <f t="shared" si="1"/>
        <v>0</v>
      </c>
      <c r="G45" s="39">
        <v>0</v>
      </c>
      <c r="H45" s="39">
        <v>0</v>
      </c>
      <c r="I45" s="39">
        <v>0</v>
      </c>
      <c r="J45" s="39">
        <v>434.89645999999999</v>
      </c>
      <c r="K45" s="39">
        <v>0</v>
      </c>
      <c r="L45" s="39">
        <f>SUM(J45:K45)</f>
        <v>434.89645999999999</v>
      </c>
    </row>
    <row r="46" spans="1:12" x14ac:dyDescent="0.25">
      <c r="A46" s="92">
        <v>40</v>
      </c>
      <c r="B46" s="7" t="s">
        <v>53</v>
      </c>
      <c r="C46" s="39">
        <f t="shared" si="0"/>
        <v>0</v>
      </c>
      <c r="D46" s="39">
        <v>0</v>
      </c>
      <c r="E46" s="39">
        <v>0</v>
      </c>
      <c r="F46" s="53">
        <f t="shared" si="1"/>
        <v>300</v>
      </c>
      <c r="G46" s="39">
        <v>0</v>
      </c>
      <c r="H46" s="39">
        <v>300</v>
      </c>
      <c r="I46" s="39">
        <v>0</v>
      </c>
      <c r="J46" s="39">
        <v>2881.1003300000002</v>
      </c>
      <c r="K46" s="39">
        <v>0</v>
      </c>
      <c r="L46" s="39">
        <f t="shared" si="2"/>
        <v>2881.1003300000002</v>
      </c>
    </row>
    <row r="47" spans="1:12" x14ac:dyDescent="0.25">
      <c r="A47" s="92">
        <v>41</v>
      </c>
      <c r="B47" s="7" t="s">
        <v>54</v>
      </c>
      <c r="C47" s="75">
        <f t="shared" si="0"/>
        <v>800</v>
      </c>
      <c r="D47" s="39">
        <f>800</f>
        <v>800</v>
      </c>
      <c r="E47" s="39">
        <v>0</v>
      </c>
      <c r="F47" s="53">
        <f t="shared" si="1"/>
        <v>242.48</v>
      </c>
      <c r="G47" s="39">
        <v>0</v>
      </c>
      <c r="H47" s="39">
        <v>242.48</v>
      </c>
      <c r="I47" s="39">
        <v>0</v>
      </c>
      <c r="J47" s="39">
        <v>2889.4204100000002</v>
      </c>
      <c r="K47" s="39">
        <v>0</v>
      </c>
      <c r="L47" s="39">
        <f t="shared" si="2"/>
        <v>2889.4204100000002</v>
      </c>
    </row>
    <row r="48" spans="1:12" x14ac:dyDescent="0.25">
      <c r="A48" s="92">
        <v>42</v>
      </c>
      <c r="B48" s="7" t="s">
        <v>55</v>
      </c>
      <c r="C48" s="75">
        <f t="shared" si="0"/>
        <v>0</v>
      </c>
      <c r="D48" s="39">
        <v>0</v>
      </c>
      <c r="E48" s="39">
        <v>0</v>
      </c>
      <c r="F48" s="53">
        <f t="shared" si="1"/>
        <v>200</v>
      </c>
      <c r="G48" s="39">
        <v>0</v>
      </c>
      <c r="H48" s="39">
        <v>200</v>
      </c>
      <c r="I48" s="39">
        <v>0</v>
      </c>
      <c r="J48" s="39">
        <v>1582.85133</v>
      </c>
      <c r="K48" s="39">
        <v>0</v>
      </c>
      <c r="L48" s="39">
        <f t="shared" si="2"/>
        <v>1582.85133</v>
      </c>
    </row>
    <row r="49" spans="1:12" x14ac:dyDescent="0.25">
      <c r="A49" s="92">
        <v>43</v>
      </c>
      <c r="B49" s="7" t="s">
        <v>56</v>
      </c>
      <c r="C49" s="39">
        <f t="shared" si="0"/>
        <v>0</v>
      </c>
      <c r="D49" s="39">
        <v>0</v>
      </c>
      <c r="E49" s="39">
        <v>0</v>
      </c>
      <c r="F49" s="53">
        <f t="shared" si="1"/>
        <v>0</v>
      </c>
      <c r="G49" s="39">
        <v>0</v>
      </c>
      <c r="H49" s="39">
        <v>0</v>
      </c>
      <c r="I49" s="39">
        <v>0</v>
      </c>
      <c r="J49" s="39">
        <v>934.68517999999995</v>
      </c>
      <c r="K49" s="39">
        <v>0</v>
      </c>
      <c r="L49" s="39">
        <f t="shared" si="2"/>
        <v>934.68517999999995</v>
      </c>
    </row>
    <row r="50" spans="1:12" x14ac:dyDescent="0.25">
      <c r="A50" s="92">
        <v>44</v>
      </c>
      <c r="B50" s="7" t="s">
        <v>57</v>
      </c>
      <c r="C50" s="39">
        <f t="shared" si="0"/>
        <v>0</v>
      </c>
      <c r="D50" s="39">
        <v>0</v>
      </c>
      <c r="E50" s="39">
        <v>0</v>
      </c>
      <c r="F50" s="53">
        <f t="shared" si="1"/>
        <v>0</v>
      </c>
      <c r="G50" s="39">
        <v>0</v>
      </c>
      <c r="H50" s="39">
        <v>0</v>
      </c>
      <c r="I50" s="39">
        <v>0</v>
      </c>
      <c r="J50" s="39">
        <v>1961.89741</v>
      </c>
      <c r="K50" s="39">
        <v>0</v>
      </c>
      <c r="L50" s="39">
        <f t="shared" si="2"/>
        <v>1961.89741</v>
      </c>
    </row>
    <row r="51" spans="1:12" x14ac:dyDescent="0.25">
      <c r="A51" s="92">
        <v>45</v>
      </c>
      <c r="B51" s="7" t="s">
        <v>58</v>
      </c>
      <c r="C51" s="75">
        <f t="shared" si="0"/>
        <v>0</v>
      </c>
      <c r="D51" s="39">
        <v>0</v>
      </c>
      <c r="E51" s="39">
        <v>0</v>
      </c>
      <c r="F51" s="53">
        <f t="shared" si="1"/>
        <v>282</v>
      </c>
      <c r="G51" s="39">
        <v>0</v>
      </c>
      <c r="H51" s="39">
        <v>282</v>
      </c>
      <c r="I51" s="39">
        <v>0</v>
      </c>
      <c r="J51" s="39">
        <v>3907.6144399999998</v>
      </c>
      <c r="K51" s="39">
        <v>0</v>
      </c>
      <c r="L51" s="39">
        <f t="shared" si="2"/>
        <v>3907.6144399999998</v>
      </c>
    </row>
    <row r="52" spans="1:12" x14ac:dyDescent="0.25">
      <c r="A52" s="92">
        <v>46</v>
      </c>
      <c r="B52" s="7" t="s">
        <v>59</v>
      </c>
      <c r="C52" s="39">
        <f t="shared" si="0"/>
        <v>0</v>
      </c>
      <c r="D52" s="39">
        <v>0</v>
      </c>
      <c r="E52" s="39">
        <v>0</v>
      </c>
      <c r="F52" s="53">
        <f t="shared" si="1"/>
        <v>0</v>
      </c>
      <c r="G52" s="39">
        <v>0</v>
      </c>
      <c r="H52" s="39">
        <v>0</v>
      </c>
      <c r="I52" s="39">
        <v>0</v>
      </c>
      <c r="J52" s="39">
        <v>1567.2347500000001</v>
      </c>
      <c r="K52" s="39">
        <v>0</v>
      </c>
      <c r="L52" s="39">
        <f t="shared" si="2"/>
        <v>1567.2347500000001</v>
      </c>
    </row>
    <row r="53" spans="1:12" x14ac:dyDescent="0.25">
      <c r="A53" s="92">
        <v>47</v>
      </c>
      <c r="B53" s="7" t="s">
        <v>60</v>
      </c>
      <c r="C53" s="39">
        <f t="shared" si="0"/>
        <v>0</v>
      </c>
      <c r="D53" s="39">
        <v>0</v>
      </c>
      <c r="E53" s="39">
        <v>0</v>
      </c>
      <c r="F53" s="53">
        <f t="shared" si="1"/>
        <v>50</v>
      </c>
      <c r="G53" s="39">
        <v>0</v>
      </c>
      <c r="H53" s="39">
        <v>50</v>
      </c>
      <c r="I53" s="39">
        <v>0</v>
      </c>
      <c r="J53" s="39">
        <v>1205.2858799999999</v>
      </c>
      <c r="K53" s="39">
        <v>0</v>
      </c>
      <c r="L53" s="39">
        <f t="shared" si="2"/>
        <v>1205.2858799999999</v>
      </c>
    </row>
    <row r="54" spans="1:12" ht="25.5" x14ac:dyDescent="0.25">
      <c r="A54" s="92">
        <v>48</v>
      </c>
      <c r="B54" s="7" t="s">
        <v>61</v>
      </c>
      <c r="C54" s="75">
        <f t="shared" si="0"/>
        <v>1500</v>
      </c>
      <c r="D54" s="39">
        <v>1500</v>
      </c>
      <c r="E54" s="39">
        <v>0</v>
      </c>
      <c r="F54" s="53">
        <f t="shared" si="1"/>
        <v>0</v>
      </c>
      <c r="G54" s="39">
        <v>0</v>
      </c>
      <c r="H54" s="39">
        <v>0</v>
      </c>
      <c r="I54" s="39">
        <v>0</v>
      </c>
      <c r="J54" s="39">
        <v>1352.12051</v>
      </c>
      <c r="K54" s="39">
        <v>0</v>
      </c>
      <c r="L54" s="39">
        <f t="shared" si="2"/>
        <v>1352.12051</v>
      </c>
    </row>
    <row r="55" spans="1:12" x14ac:dyDescent="0.25">
      <c r="A55" s="92">
        <v>49</v>
      </c>
      <c r="B55" s="7" t="s">
        <v>62</v>
      </c>
      <c r="C55" s="39">
        <f t="shared" si="0"/>
        <v>0</v>
      </c>
      <c r="D55" s="39">
        <v>0</v>
      </c>
      <c r="E55" s="39">
        <v>0</v>
      </c>
      <c r="F55" s="53">
        <f t="shared" si="1"/>
        <v>0</v>
      </c>
      <c r="G55" s="39">
        <v>0</v>
      </c>
      <c r="H55" s="39">
        <v>0</v>
      </c>
      <c r="I55" s="39">
        <v>0</v>
      </c>
      <c r="J55" s="39">
        <v>1497.3895</v>
      </c>
      <c r="K55" s="39">
        <v>0</v>
      </c>
      <c r="L55" s="39">
        <f t="shared" si="2"/>
        <v>1497.3895</v>
      </c>
    </row>
    <row r="56" spans="1:12" x14ac:dyDescent="0.25">
      <c r="A56" s="92">
        <v>50</v>
      </c>
      <c r="B56" s="7" t="s">
        <v>63</v>
      </c>
      <c r="C56" s="39">
        <f t="shared" si="0"/>
        <v>600</v>
      </c>
      <c r="D56" s="39">
        <v>600</v>
      </c>
      <c r="E56" s="39">
        <v>0</v>
      </c>
      <c r="F56" s="53">
        <f t="shared" si="1"/>
        <v>0</v>
      </c>
      <c r="G56" s="39">
        <v>0</v>
      </c>
      <c r="H56" s="39">
        <v>0</v>
      </c>
      <c r="I56" s="39">
        <v>0</v>
      </c>
      <c r="J56" s="39">
        <v>917.29431</v>
      </c>
      <c r="K56" s="39">
        <v>0</v>
      </c>
      <c r="L56" s="39">
        <f t="shared" si="2"/>
        <v>917.29431</v>
      </c>
    </row>
    <row r="57" spans="1:12" ht="25.5" x14ac:dyDescent="0.25">
      <c r="A57" s="92">
        <v>51</v>
      </c>
      <c r="B57" s="7" t="s">
        <v>64</v>
      </c>
      <c r="C57" s="39">
        <f t="shared" si="0"/>
        <v>800</v>
      </c>
      <c r="D57" s="39">
        <v>800</v>
      </c>
      <c r="E57" s="39">
        <v>0</v>
      </c>
      <c r="F57" s="53">
        <f t="shared" si="1"/>
        <v>0</v>
      </c>
      <c r="G57" s="39">
        <v>0</v>
      </c>
      <c r="H57" s="39">
        <v>0</v>
      </c>
      <c r="I57" s="39">
        <v>0</v>
      </c>
      <c r="J57" s="39">
        <v>1100.66272</v>
      </c>
      <c r="K57" s="39">
        <v>0</v>
      </c>
      <c r="L57" s="39">
        <f t="shared" si="2"/>
        <v>1100.66272</v>
      </c>
    </row>
    <row r="58" spans="1:12" ht="25.5" x14ac:dyDescent="0.25">
      <c r="A58" s="92">
        <v>52</v>
      </c>
      <c r="B58" s="7" t="s">
        <v>65</v>
      </c>
      <c r="C58" s="39">
        <f t="shared" si="0"/>
        <v>0</v>
      </c>
      <c r="D58" s="39">
        <v>0</v>
      </c>
      <c r="E58" s="39">
        <v>0</v>
      </c>
      <c r="F58" s="53">
        <f t="shared" si="1"/>
        <v>100</v>
      </c>
      <c r="G58" s="39">
        <v>0</v>
      </c>
      <c r="H58" s="39">
        <v>100</v>
      </c>
      <c r="I58" s="39">
        <v>0</v>
      </c>
      <c r="J58" s="39">
        <v>310.45881000000003</v>
      </c>
      <c r="K58" s="39">
        <v>0</v>
      </c>
      <c r="L58" s="39">
        <f t="shared" si="2"/>
        <v>310.45881000000003</v>
      </c>
    </row>
    <row r="59" spans="1:12" x14ac:dyDescent="0.25">
      <c r="A59" s="92">
        <v>53</v>
      </c>
      <c r="B59" s="7" t="s">
        <v>66</v>
      </c>
      <c r="C59" s="75">
        <f t="shared" si="0"/>
        <v>0</v>
      </c>
      <c r="D59" s="39">
        <v>0</v>
      </c>
      <c r="E59" s="39">
        <v>0</v>
      </c>
      <c r="F59" s="53">
        <f t="shared" si="1"/>
        <v>300</v>
      </c>
      <c r="G59" s="39">
        <v>0</v>
      </c>
      <c r="H59" s="39">
        <v>300</v>
      </c>
      <c r="I59" s="39">
        <v>0</v>
      </c>
      <c r="J59" s="39">
        <v>1180.9250300000001</v>
      </c>
      <c r="K59" s="39">
        <v>0</v>
      </c>
      <c r="L59" s="39">
        <f t="shared" si="2"/>
        <v>1180.9250300000001</v>
      </c>
    </row>
    <row r="60" spans="1:12" x14ac:dyDescent="0.25">
      <c r="A60" s="92">
        <v>54</v>
      </c>
      <c r="B60" s="7" t="s">
        <v>67</v>
      </c>
      <c r="C60" s="39">
        <f t="shared" si="0"/>
        <v>0</v>
      </c>
      <c r="D60" s="39">
        <v>0</v>
      </c>
      <c r="E60" s="39">
        <v>0</v>
      </c>
      <c r="F60" s="53">
        <f t="shared" si="1"/>
        <v>0</v>
      </c>
      <c r="G60" s="39">
        <v>0</v>
      </c>
      <c r="H60" s="39">
        <v>0</v>
      </c>
      <c r="I60" s="39">
        <v>0</v>
      </c>
      <c r="J60" s="39">
        <v>139.24313000000001</v>
      </c>
      <c r="K60" s="39">
        <v>0</v>
      </c>
      <c r="L60" s="39">
        <f t="shared" si="2"/>
        <v>139.24313000000001</v>
      </c>
    </row>
    <row r="61" spans="1:12" x14ac:dyDescent="0.25">
      <c r="A61" s="92">
        <v>55</v>
      </c>
      <c r="B61" s="7" t="s">
        <v>68</v>
      </c>
      <c r="C61" s="39">
        <f t="shared" si="0"/>
        <v>0</v>
      </c>
      <c r="D61" s="39">
        <v>0</v>
      </c>
      <c r="E61" s="39">
        <v>0</v>
      </c>
      <c r="F61" s="53">
        <f t="shared" si="1"/>
        <v>0</v>
      </c>
      <c r="G61" s="39">
        <v>0</v>
      </c>
      <c r="H61" s="39">
        <v>0</v>
      </c>
      <c r="I61" s="39">
        <v>0</v>
      </c>
      <c r="J61" s="39">
        <v>732.94272000000001</v>
      </c>
      <c r="K61" s="39">
        <v>0</v>
      </c>
      <c r="L61" s="39">
        <f t="shared" si="2"/>
        <v>732.94272000000001</v>
      </c>
    </row>
    <row r="62" spans="1:12" x14ac:dyDescent="0.25">
      <c r="A62" s="92">
        <v>56</v>
      </c>
      <c r="B62" s="7" t="s">
        <v>69</v>
      </c>
      <c r="C62" s="39">
        <f t="shared" si="0"/>
        <v>0</v>
      </c>
      <c r="D62" s="39">
        <v>0</v>
      </c>
      <c r="E62" s="39">
        <v>0</v>
      </c>
      <c r="F62" s="53">
        <f t="shared" si="1"/>
        <v>0</v>
      </c>
      <c r="G62" s="39">
        <v>0</v>
      </c>
      <c r="H62" s="39">
        <v>0</v>
      </c>
      <c r="I62" s="39">
        <v>0</v>
      </c>
      <c r="J62" s="39">
        <v>1137.2682299999999</v>
      </c>
      <c r="K62" s="39">
        <v>0</v>
      </c>
      <c r="L62" s="39">
        <f t="shared" si="2"/>
        <v>1137.2682299999999</v>
      </c>
    </row>
    <row r="63" spans="1:12" x14ac:dyDescent="0.25">
      <c r="A63" s="92">
        <v>57</v>
      </c>
      <c r="B63" s="7" t="s">
        <v>70</v>
      </c>
      <c r="C63" s="39">
        <f t="shared" si="0"/>
        <v>0</v>
      </c>
      <c r="D63" s="39">
        <v>0</v>
      </c>
      <c r="E63" s="39">
        <v>0</v>
      </c>
      <c r="F63" s="53">
        <f t="shared" si="1"/>
        <v>0</v>
      </c>
      <c r="G63" s="39">
        <v>0</v>
      </c>
      <c r="H63" s="39">
        <v>0</v>
      </c>
      <c r="I63" s="39">
        <v>0</v>
      </c>
      <c r="J63" s="39">
        <v>2649.12473</v>
      </c>
      <c r="K63" s="39">
        <v>0</v>
      </c>
      <c r="L63" s="39">
        <f t="shared" si="2"/>
        <v>2649.12473</v>
      </c>
    </row>
    <row r="64" spans="1:12" x14ac:dyDescent="0.25">
      <c r="A64" s="92">
        <v>58</v>
      </c>
      <c r="B64" s="7" t="s">
        <v>71</v>
      </c>
      <c r="C64" s="75">
        <f t="shared" si="0"/>
        <v>0</v>
      </c>
      <c r="D64" s="39">
        <v>0</v>
      </c>
      <c r="E64" s="39">
        <v>0</v>
      </c>
      <c r="F64" s="53">
        <f t="shared" si="1"/>
        <v>200</v>
      </c>
      <c r="G64" s="39">
        <v>0</v>
      </c>
      <c r="H64" s="39">
        <v>200</v>
      </c>
      <c r="I64" s="39">
        <v>0</v>
      </c>
      <c r="J64" s="39">
        <v>2071.6405500000001</v>
      </c>
      <c r="K64" s="39">
        <v>0</v>
      </c>
      <c r="L64" s="39">
        <f>SUM(J64:K64)</f>
        <v>2071.6405500000001</v>
      </c>
    </row>
    <row r="65" spans="1:12" x14ac:dyDescent="0.25">
      <c r="A65" s="92">
        <v>59</v>
      </c>
      <c r="B65" s="7" t="s">
        <v>72</v>
      </c>
      <c r="C65" s="39">
        <f t="shared" si="0"/>
        <v>0</v>
      </c>
      <c r="D65" s="39">
        <v>0</v>
      </c>
      <c r="E65" s="39">
        <v>0</v>
      </c>
      <c r="F65" s="53">
        <f t="shared" si="1"/>
        <v>0</v>
      </c>
      <c r="G65" s="39">
        <v>0</v>
      </c>
      <c r="H65" s="39">
        <v>0</v>
      </c>
      <c r="I65" s="39">
        <v>0</v>
      </c>
      <c r="J65" s="39">
        <v>100.85249</v>
      </c>
      <c r="K65" s="39">
        <v>0</v>
      </c>
      <c r="L65" s="39">
        <f t="shared" si="2"/>
        <v>100.85249</v>
      </c>
    </row>
    <row r="66" spans="1:12" x14ac:dyDescent="0.25">
      <c r="A66" s="92">
        <v>60</v>
      </c>
      <c r="B66" s="7" t="s">
        <v>73</v>
      </c>
      <c r="C66" s="75">
        <f t="shared" si="0"/>
        <v>0</v>
      </c>
      <c r="D66" s="39">
        <v>0</v>
      </c>
      <c r="E66" s="39">
        <v>0</v>
      </c>
      <c r="F66" s="53">
        <f t="shared" si="1"/>
        <v>300</v>
      </c>
      <c r="G66" s="39">
        <v>0</v>
      </c>
      <c r="H66" s="39">
        <v>300</v>
      </c>
      <c r="I66" s="39">
        <v>0</v>
      </c>
      <c r="J66" s="39">
        <v>386.72671000000003</v>
      </c>
      <c r="K66" s="39">
        <v>0</v>
      </c>
      <c r="L66" s="39">
        <f t="shared" si="2"/>
        <v>386.72671000000003</v>
      </c>
    </row>
    <row r="67" spans="1:12" x14ac:dyDescent="0.25">
      <c r="A67" s="92">
        <v>61</v>
      </c>
      <c r="B67" s="7" t="s">
        <v>74</v>
      </c>
      <c r="C67" s="39">
        <f t="shared" si="0"/>
        <v>0</v>
      </c>
      <c r="D67" s="39">
        <v>0</v>
      </c>
      <c r="E67" s="39">
        <v>0</v>
      </c>
      <c r="F67" s="53">
        <f t="shared" si="1"/>
        <v>0</v>
      </c>
      <c r="G67" s="39">
        <v>0</v>
      </c>
      <c r="H67" s="39">
        <v>0</v>
      </c>
      <c r="I67" s="39">
        <v>0</v>
      </c>
      <c r="J67" s="39">
        <v>31.90006</v>
      </c>
      <c r="K67" s="39">
        <v>0</v>
      </c>
      <c r="L67" s="39">
        <f t="shared" si="2"/>
        <v>31.90006</v>
      </c>
    </row>
    <row r="68" spans="1:12" x14ac:dyDescent="0.25">
      <c r="A68" s="92">
        <v>62</v>
      </c>
      <c r="B68" s="7" t="s">
        <v>75</v>
      </c>
      <c r="C68" s="39">
        <f t="shared" si="0"/>
        <v>0</v>
      </c>
      <c r="D68" s="39">
        <v>0</v>
      </c>
      <c r="E68" s="39">
        <v>0</v>
      </c>
      <c r="F68" s="53">
        <f t="shared" si="1"/>
        <v>0</v>
      </c>
      <c r="G68" s="39">
        <v>0</v>
      </c>
      <c r="H68" s="39">
        <v>0</v>
      </c>
      <c r="I68" s="39">
        <v>0</v>
      </c>
      <c r="J68" s="39">
        <v>12.31649</v>
      </c>
      <c r="K68" s="39">
        <v>11.754239999999999</v>
      </c>
      <c r="L68" s="39">
        <f t="shared" si="2"/>
        <v>24.070729999999998</v>
      </c>
    </row>
    <row r="69" spans="1:12" x14ac:dyDescent="0.25">
      <c r="A69" s="92">
        <v>63</v>
      </c>
      <c r="B69" s="7" t="s">
        <v>76</v>
      </c>
      <c r="C69" s="39">
        <f t="shared" si="0"/>
        <v>0</v>
      </c>
      <c r="D69" s="39">
        <v>0</v>
      </c>
      <c r="E69" s="39">
        <v>0</v>
      </c>
      <c r="F69" s="53">
        <f t="shared" si="1"/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f t="shared" si="2"/>
        <v>0</v>
      </c>
    </row>
    <row r="70" spans="1:12" x14ac:dyDescent="0.25">
      <c r="A70" s="92">
        <v>64</v>
      </c>
      <c r="B70" s="7" t="s">
        <v>77</v>
      </c>
      <c r="C70" s="39">
        <f t="shared" si="0"/>
        <v>0</v>
      </c>
      <c r="D70" s="39">
        <v>0</v>
      </c>
      <c r="E70" s="39">
        <v>0</v>
      </c>
      <c r="F70" s="53">
        <f t="shared" si="1"/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f t="shared" si="2"/>
        <v>0</v>
      </c>
    </row>
    <row r="71" spans="1:12" x14ac:dyDescent="0.25">
      <c r="A71" s="92">
        <v>65</v>
      </c>
      <c r="B71" s="7" t="s">
        <v>78</v>
      </c>
      <c r="C71" s="39">
        <f t="shared" si="0"/>
        <v>0</v>
      </c>
      <c r="D71" s="39">
        <v>0</v>
      </c>
      <c r="E71" s="39">
        <v>0</v>
      </c>
      <c r="F71" s="53">
        <f t="shared" si="1"/>
        <v>0</v>
      </c>
      <c r="G71" s="39">
        <v>0</v>
      </c>
      <c r="H71" s="39">
        <v>0</v>
      </c>
      <c r="I71" s="39">
        <v>0</v>
      </c>
      <c r="J71" s="39">
        <v>31.97663</v>
      </c>
      <c r="K71" s="39">
        <v>0</v>
      </c>
      <c r="L71" s="39">
        <f t="shared" si="2"/>
        <v>31.97663</v>
      </c>
    </row>
    <row r="72" spans="1:12" ht="25.5" x14ac:dyDescent="0.25">
      <c r="A72" s="92">
        <v>66</v>
      </c>
      <c r="B72" s="7" t="s">
        <v>79</v>
      </c>
      <c r="C72" s="39">
        <f t="shared" ref="C72:C75" si="3">SUM(D72:E72)</f>
        <v>0</v>
      </c>
      <c r="D72" s="39">
        <v>0</v>
      </c>
      <c r="E72" s="39">
        <v>0</v>
      </c>
      <c r="F72" s="53">
        <f t="shared" ref="F72:F75" si="4">SUM(G72:I72)</f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f t="shared" ref="L72:L75" si="5">SUM(J72:K72)</f>
        <v>0</v>
      </c>
    </row>
    <row r="73" spans="1:12" x14ac:dyDescent="0.25">
      <c r="A73" s="92">
        <v>67</v>
      </c>
      <c r="B73" s="7" t="s">
        <v>80</v>
      </c>
      <c r="C73" s="39">
        <f t="shared" si="3"/>
        <v>0</v>
      </c>
      <c r="D73" s="39">
        <v>0</v>
      </c>
      <c r="E73" s="39">
        <v>0</v>
      </c>
      <c r="F73" s="53">
        <f t="shared" si="4"/>
        <v>0</v>
      </c>
      <c r="G73" s="39">
        <v>0</v>
      </c>
      <c r="H73" s="39">
        <v>0</v>
      </c>
      <c r="I73" s="39">
        <v>0</v>
      </c>
      <c r="J73" s="39">
        <v>523.16963999999996</v>
      </c>
      <c r="K73" s="39">
        <v>0</v>
      </c>
      <c r="L73" s="39">
        <f t="shared" si="5"/>
        <v>523.16963999999996</v>
      </c>
    </row>
    <row r="74" spans="1:12" ht="25.5" x14ac:dyDescent="0.25">
      <c r="A74" s="92">
        <v>68</v>
      </c>
      <c r="B74" s="7" t="s">
        <v>81</v>
      </c>
      <c r="C74" s="39">
        <f t="shared" si="3"/>
        <v>0</v>
      </c>
      <c r="D74" s="39">
        <v>0</v>
      </c>
      <c r="E74" s="39">
        <v>0</v>
      </c>
      <c r="F74" s="53">
        <f t="shared" si="4"/>
        <v>0</v>
      </c>
      <c r="G74" s="39">
        <v>0</v>
      </c>
      <c r="H74" s="39">
        <v>0</v>
      </c>
      <c r="I74" s="39">
        <v>0</v>
      </c>
      <c r="J74" s="39">
        <v>32.61233</v>
      </c>
      <c r="K74" s="39">
        <v>0</v>
      </c>
      <c r="L74" s="39">
        <f t="shared" si="5"/>
        <v>32.61233</v>
      </c>
    </row>
    <row r="75" spans="1:12" x14ac:dyDescent="0.25">
      <c r="A75" s="92">
        <v>69</v>
      </c>
      <c r="B75" s="7" t="s">
        <v>82</v>
      </c>
      <c r="C75" s="39">
        <f t="shared" si="3"/>
        <v>0</v>
      </c>
      <c r="D75" s="39">
        <v>0</v>
      </c>
      <c r="E75" s="39">
        <v>0</v>
      </c>
      <c r="F75" s="53">
        <f t="shared" si="4"/>
        <v>0</v>
      </c>
      <c r="G75" s="39">
        <v>0</v>
      </c>
      <c r="H75" s="39">
        <v>0</v>
      </c>
      <c r="I75" s="39">
        <v>0</v>
      </c>
      <c r="J75" s="39">
        <v>11.029949999999999</v>
      </c>
      <c r="K75" s="39">
        <v>0</v>
      </c>
      <c r="L75" s="39">
        <f t="shared" si="5"/>
        <v>11.029949999999999</v>
      </c>
    </row>
    <row r="76" spans="1:12" ht="51" x14ac:dyDescent="0.25">
      <c r="A76" s="64">
        <v>70</v>
      </c>
      <c r="B76" s="20" t="s">
        <v>155</v>
      </c>
      <c r="C76" s="39">
        <f>SUM(D76:E76)</f>
        <v>0</v>
      </c>
      <c r="D76" s="39">
        <v>0</v>
      </c>
      <c r="E76" s="39">
        <v>0</v>
      </c>
      <c r="F76" s="53">
        <f>SUM(G76:I76)</f>
        <v>0</v>
      </c>
      <c r="G76" s="39">
        <v>0</v>
      </c>
      <c r="H76" s="39">
        <v>0</v>
      </c>
      <c r="I76" s="39">
        <v>0</v>
      </c>
      <c r="J76" s="39">
        <v>77</v>
      </c>
      <c r="K76" s="39">
        <v>0</v>
      </c>
      <c r="L76" s="39">
        <f>SUM(J76:K76)</f>
        <v>77</v>
      </c>
    </row>
    <row r="77" spans="1:12" ht="38.25" x14ac:dyDescent="0.25">
      <c r="A77" s="64">
        <v>71</v>
      </c>
      <c r="B77" s="20" t="s">
        <v>156</v>
      </c>
      <c r="C77" s="48">
        <f>SUM(D77:E77)</f>
        <v>0</v>
      </c>
      <c r="D77" s="48">
        <v>0</v>
      </c>
      <c r="E77" s="48">
        <v>0</v>
      </c>
      <c r="F77" s="71">
        <f>SUM(G77:I77)</f>
        <v>0</v>
      </c>
      <c r="G77" s="48">
        <v>0</v>
      </c>
      <c r="H77" s="48">
        <v>0</v>
      </c>
      <c r="I77" s="48">
        <v>0</v>
      </c>
      <c r="J77" s="48">
        <v>133.9</v>
      </c>
      <c r="K77" s="48">
        <v>0</v>
      </c>
      <c r="L77" s="48">
        <f>SUM(J77:K77)</f>
        <v>133.9</v>
      </c>
    </row>
    <row r="78" spans="1:12" ht="38.25" x14ac:dyDescent="0.25">
      <c r="A78" s="64">
        <v>72</v>
      </c>
      <c r="B78" s="20" t="s">
        <v>157</v>
      </c>
      <c r="C78" s="39">
        <f t="shared" ref="C78:C79" si="6">SUM(D78:E78)</f>
        <v>0</v>
      </c>
      <c r="D78" s="39">
        <v>0</v>
      </c>
      <c r="E78" s="39">
        <v>0</v>
      </c>
      <c r="F78" s="53">
        <f t="shared" ref="F78:F79" si="7">SUM(G78:I78)</f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39">
        <f t="shared" ref="L78" si="8">SUM(J78:K78)</f>
        <v>0</v>
      </c>
    </row>
    <row r="79" spans="1:12" ht="38.25" x14ac:dyDescent="0.25">
      <c r="A79" s="64">
        <v>73</v>
      </c>
      <c r="B79" s="20" t="s">
        <v>158</v>
      </c>
      <c r="C79" s="39">
        <f t="shared" si="6"/>
        <v>0</v>
      </c>
      <c r="D79" s="39">
        <v>0</v>
      </c>
      <c r="E79" s="39">
        <v>0</v>
      </c>
      <c r="F79" s="53">
        <f t="shared" si="7"/>
        <v>187.3</v>
      </c>
      <c r="G79" s="39">
        <v>0</v>
      </c>
      <c r="H79" s="39">
        <v>99</v>
      </c>
      <c r="I79" s="39">
        <v>88.3</v>
      </c>
      <c r="J79" s="39">
        <v>188.4</v>
      </c>
      <c r="K79" s="39">
        <v>0</v>
      </c>
      <c r="L79" s="39">
        <f>SUM(J79:K79)</f>
        <v>188.4</v>
      </c>
    </row>
    <row r="80" spans="1:12" ht="38.25" x14ac:dyDescent="0.25">
      <c r="A80" s="64">
        <v>74</v>
      </c>
      <c r="B80" s="20" t="s">
        <v>159</v>
      </c>
      <c r="C80" s="48">
        <f>SUM(D80:E80)</f>
        <v>0</v>
      </c>
      <c r="D80" s="48">
        <v>0</v>
      </c>
      <c r="E80" s="48">
        <v>0</v>
      </c>
      <c r="F80" s="71">
        <f>SUM(G80:I80)</f>
        <v>0</v>
      </c>
      <c r="G80" s="48">
        <v>0</v>
      </c>
      <c r="H80" s="48">
        <v>0</v>
      </c>
      <c r="I80" s="48">
        <v>0</v>
      </c>
      <c r="J80" s="48">
        <v>298.3</v>
      </c>
      <c r="K80" s="48">
        <v>0</v>
      </c>
      <c r="L80" s="48">
        <f>SUM(J80:K80)</f>
        <v>298.3</v>
      </c>
    </row>
    <row r="81" spans="1:12" s="25" customFormat="1" x14ac:dyDescent="0.25">
      <c r="A81" s="64">
        <v>75</v>
      </c>
      <c r="B81" s="7" t="s">
        <v>163</v>
      </c>
      <c r="C81" s="39">
        <v>0</v>
      </c>
      <c r="D81" s="39">
        <v>0</v>
      </c>
      <c r="E81" s="39">
        <v>0</v>
      </c>
      <c r="F81" s="53">
        <f>SUM(G81:I81)</f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8">
        <f t="shared" ref="L81:L85" si="9">SUM(J81:K81)</f>
        <v>0</v>
      </c>
    </row>
    <row r="82" spans="1:12" s="25" customFormat="1" x14ac:dyDescent="0.25">
      <c r="A82" s="64">
        <v>76</v>
      </c>
      <c r="B82" s="58" t="s">
        <v>169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774</v>
      </c>
      <c r="I82" s="39">
        <v>9000</v>
      </c>
      <c r="J82" s="39">
        <v>1175</v>
      </c>
      <c r="K82" s="39">
        <v>5229.6000000000004</v>
      </c>
      <c r="L82" s="48">
        <f t="shared" si="9"/>
        <v>6404.6</v>
      </c>
    </row>
    <row r="83" spans="1:12" s="25" customFormat="1" x14ac:dyDescent="0.25">
      <c r="A83" s="64">
        <v>77</v>
      </c>
      <c r="B83" s="58" t="s">
        <v>171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140</v>
      </c>
      <c r="K83" s="53">
        <v>0</v>
      </c>
      <c r="L83" s="48">
        <f t="shared" si="9"/>
        <v>140</v>
      </c>
    </row>
    <row r="84" spans="1:12" s="25" customFormat="1" x14ac:dyDescent="0.25">
      <c r="A84" s="64">
        <v>78</v>
      </c>
      <c r="B84" s="58" t="s">
        <v>173</v>
      </c>
      <c r="C84" s="39">
        <v>0</v>
      </c>
      <c r="D84" s="39">
        <v>0</v>
      </c>
      <c r="E84" s="39">
        <v>0</v>
      </c>
      <c r="F84" s="53">
        <v>0</v>
      </c>
      <c r="G84" s="39">
        <v>0</v>
      </c>
      <c r="H84" s="53">
        <v>841.4</v>
      </c>
      <c r="I84" s="53">
        <v>0</v>
      </c>
      <c r="J84" s="53">
        <v>201.62</v>
      </c>
      <c r="K84" s="53">
        <v>0</v>
      </c>
      <c r="L84" s="48">
        <f t="shared" si="9"/>
        <v>201.62</v>
      </c>
    </row>
    <row r="85" spans="1:12" s="25" customFormat="1" x14ac:dyDescent="0.25">
      <c r="A85" s="64">
        <v>79</v>
      </c>
      <c r="B85" s="7" t="s">
        <v>165</v>
      </c>
      <c r="C85" s="39">
        <v>0</v>
      </c>
      <c r="D85" s="39">
        <v>0</v>
      </c>
      <c r="E85" s="39">
        <v>0</v>
      </c>
      <c r="F85" s="53">
        <v>0</v>
      </c>
      <c r="G85" s="39">
        <v>0</v>
      </c>
      <c r="H85" s="39">
        <v>577.29999999999995</v>
      </c>
      <c r="I85" s="39">
        <v>0</v>
      </c>
      <c r="J85" s="39">
        <v>937.4</v>
      </c>
      <c r="K85" s="39">
        <v>10375.48</v>
      </c>
      <c r="L85" s="48">
        <f t="shared" si="9"/>
        <v>11312.88</v>
      </c>
    </row>
    <row r="86" spans="1:12" s="27" customFormat="1" ht="14.25" x14ac:dyDescent="0.2">
      <c r="A86" s="65"/>
      <c r="B86" s="66" t="s">
        <v>164</v>
      </c>
      <c r="C86" s="63">
        <f t="shared" ref="C86:L86" si="10">SUM(C7:C85)</f>
        <v>175218.45280000003</v>
      </c>
      <c r="D86" s="63">
        <f t="shared" si="10"/>
        <v>175218.45280000003</v>
      </c>
      <c r="E86" s="63">
        <f t="shared" si="10"/>
        <v>0</v>
      </c>
      <c r="F86" s="63">
        <f t="shared" si="10"/>
        <v>5162.0199999999995</v>
      </c>
      <c r="G86" s="63">
        <f t="shared" si="10"/>
        <v>0</v>
      </c>
      <c r="H86" s="63">
        <f t="shared" si="10"/>
        <v>7266.4199999999992</v>
      </c>
      <c r="I86" s="63">
        <f t="shared" si="10"/>
        <v>9088.2999999999993</v>
      </c>
      <c r="J86" s="63">
        <f t="shared" si="10"/>
        <v>69935.162439999986</v>
      </c>
      <c r="K86" s="63">
        <f t="shared" si="10"/>
        <v>15639.502860000001</v>
      </c>
      <c r="L86" s="63">
        <f t="shared" si="10"/>
        <v>85574.665300000008</v>
      </c>
    </row>
  </sheetData>
  <mergeCells count="6">
    <mergeCell ref="D2:I2"/>
    <mergeCell ref="J5:L5"/>
    <mergeCell ref="A5:A6"/>
    <mergeCell ref="B5:B6"/>
    <mergeCell ref="C5:E5"/>
    <mergeCell ref="F5:I5"/>
  </mergeCells>
  <pageMargins left="0.23622047244094491" right="0.23622047244094491" top="0.74803149606299213" bottom="0.74803149606299213" header="0.31496062992125984" footer="0.31496062992125984"/>
  <pageSetup paperSize="9" scale="78" fitToHeight="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89"/>
  <sheetViews>
    <sheetView tabSelected="1" workbookViewId="0">
      <pane xSplit="1" ySplit="7" topLeftCell="B8" activePane="bottomRight" state="frozen"/>
      <selection activeCell="B84" sqref="B84"/>
      <selection pane="topRight" activeCell="B84" sqref="B84"/>
      <selection pane="bottomLeft" activeCell="B84" sqref="B84"/>
      <selection pane="bottomRight" activeCell="B78" sqref="B78"/>
    </sheetView>
  </sheetViews>
  <sheetFormatPr defaultRowHeight="15" x14ac:dyDescent="0.25"/>
  <cols>
    <col min="1" max="1" width="4.42578125" style="3" bestFit="1" customWidth="1"/>
    <col min="2" max="2" width="42.85546875" style="6" customWidth="1"/>
    <col min="3" max="3" width="15.42578125" style="3" customWidth="1"/>
    <col min="4" max="4" width="10" style="3" customWidth="1"/>
    <col min="5" max="5" width="13.140625" style="3" customWidth="1"/>
    <col min="6" max="6" width="12.42578125" style="3" customWidth="1"/>
    <col min="7" max="7" width="19.140625" style="3" customWidth="1"/>
    <col min="8" max="8" width="16.5703125" style="3" customWidth="1"/>
    <col min="9" max="15" width="9.140625" style="3"/>
    <col min="16" max="16" width="13.28515625" style="3" customWidth="1"/>
    <col min="17" max="16384" width="9.140625" style="3"/>
  </cols>
  <sheetData>
    <row r="1" spans="1:8" ht="15.75" x14ac:dyDescent="0.25">
      <c r="H1" s="8" t="s">
        <v>148</v>
      </c>
    </row>
    <row r="2" spans="1:8" ht="37.5" customHeight="1" x14ac:dyDescent="0.25">
      <c r="A2" s="139" t="s">
        <v>168</v>
      </c>
      <c r="B2" s="139"/>
      <c r="C2" s="139"/>
      <c r="D2" s="139"/>
      <c r="E2" s="139"/>
      <c r="F2" s="139"/>
      <c r="G2" s="139"/>
      <c r="H2" s="139"/>
    </row>
    <row r="5" spans="1:8" s="2" customFormat="1" x14ac:dyDescent="0.25">
      <c r="A5" s="121" t="s">
        <v>83</v>
      </c>
      <c r="B5" s="121" t="s">
        <v>91</v>
      </c>
      <c r="C5" s="121" t="s">
        <v>128</v>
      </c>
      <c r="D5" s="121"/>
      <c r="E5" s="121"/>
      <c r="F5" s="121" t="s">
        <v>129</v>
      </c>
      <c r="G5" s="121"/>
      <c r="H5" s="121" t="s">
        <v>130</v>
      </c>
    </row>
    <row r="6" spans="1:8" s="2" customFormat="1" x14ac:dyDescent="0.25">
      <c r="A6" s="121"/>
      <c r="B6" s="121"/>
      <c r="C6" s="121" t="s">
        <v>0</v>
      </c>
      <c r="D6" s="121" t="s">
        <v>131</v>
      </c>
      <c r="E6" s="121"/>
      <c r="F6" s="121" t="s">
        <v>0</v>
      </c>
      <c r="G6" s="121" t="s">
        <v>132</v>
      </c>
      <c r="H6" s="121"/>
    </row>
    <row r="7" spans="1:8" s="2" customFormat="1" ht="38.25" x14ac:dyDescent="0.25">
      <c r="A7" s="121"/>
      <c r="B7" s="121"/>
      <c r="C7" s="121"/>
      <c r="D7" s="55" t="s">
        <v>0</v>
      </c>
      <c r="E7" s="55" t="s">
        <v>133</v>
      </c>
      <c r="F7" s="121"/>
      <c r="G7" s="121"/>
      <c r="H7" s="121"/>
    </row>
    <row r="8" spans="1:8" ht="24" x14ac:dyDescent="0.25">
      <c r="A8" s="92">
        <v>1</v>
      </c>
      <c r="B8" s="93" t="s">
        <v>15</v>
      </c>
      <c r="C8" s="111">
        <v>27.10783</v>
      </c>
      <c r="D8" s="111">
        <v>0</v>
      </c>
      <c r="E8" s="111">
        <v>0</v>
      </c>
      <c r="F8" s="111">
        <v>313.67662000000001</v>
      </c>
      <c r="G8" s="111">
        <v>0</v>
      </c>
      <c r="H8" s="111">
        <v>0</v>
      </c>
    </row>
    <row r="9" spans="1:8" ht="24" x14ac:dyDescent="0.25">
      <c r="A9" s="92">
        <v>2</v>
      </c>
      <c r="B9" s="93" t="s">
        <v>16</v>
      </c>
      <c r="C9" s="111">
        <v>55.316670000000002</v>
      </c>
      <c r="D9" s="111">
        <v>0</v>
      </c>
      <c r="E9" s="111">
        <v>0</v>
      </c>
      <c r="F9" s="111">
        <v>60.325870000000002</v>
      </c>
      <c r="G9" s="111">
        <v>0</v>
      </c>
      <c r="H9" s="111">
        <v>0</v>
      </c>
    </row>
    <row r="10" spans="1:8" x14ac:dyDescent="0.25">
      <c r="A10" s="92">
        <v>3</v>
      </c>
      <c r="B10" s="93" t="s">
        <v>17</v>
      </c>
      <c r="C10" s="111">
        <v>169.02452</v>
      </c>
      <c r="D10" s="111">
        <v>0</v>
      </c>
      <c r="E10" s="111">
        <v>0</v>
      </c>
      <c r="F10" s="111">
        <v>110.313</v>
      </c>
      <c r="G10" s="111">
        <v>0</v>
      </c>
      <c r="H10" s="111">
        <v>0</v>
      </c>
    </row>
    <row r="11" spans="1:8" x14ac:dyDescent="0.25">
      <c r="A11" s="92">
        <v>4</v>
      </c>
      <c r="B11" s="93" t="s">
        <v>18</v>
      </c>
      <c r="C11" s="111">
        <v>3.2563</v>
      </c>
      <c r="D11" s="111">
        <v>0</v>
      </c>
      <c r="E11" s="111">
        <v>0</v>
      </c>
      <c r="F11" s="111">
        <v>66.580619999999996</v>
      </c>
      <c r="G11" s="111">
        <v>0</v>
      </c>
      <c r="H11" s="111">
        <v>0</v>
      </c>
    </row>
    <row r="12" spans="1:8" ht="24" x14ac:dyDescent="0.25">
      <c r="A12" s="92">
        <v>5</v>
      </c>
      <c r="B12" s="93" t="s">
        <v>19</v>
      </c>
      <c r="C12" s="111">
        <v>124.13679999999999</v>
      </c>
      <c r="D12" s="111">
        <v>0</v>
      </c>
      <c r="E12" s="111">
        <v>0</v>
      </c>
      <c r="F12" s="111">
        <v>310.78557999999998</v>
      </c>
      <c r="G12" s="111">
        <v>0</v>
      </c>
      <c r="H12" s="111">
        <v>0</v>
      </c>
    </row>
    <row r="13" spans="1:8" ht="24" x14ac:dyDescent="0.25">
      <c r="A13" s="92">
        <v>6</v>
      </c>
      <c r="B13" s="93" t="s">
        <v>20</v>
      </c>
      <c r="C13" s="111">
        <v>66.576229999999995</v>
      </c>
      <c r="D13" s="111">
        <v>0</v>
      </c>
      <c r="E13" s="111">
        <v>0</v>
      </c>
      <c r="F13" s="111">
        <v>73.889309999999995</v>
      </c>
      <c r="G13" s="111">
        <v>0</v>
      </c>
      <c r="H13" s="111">
        <v>0</v>
      </c>
    </row>
    <row r="14" spans="1:8" x14ac:dyDescent="0.25">
      <c r="A14" s="92">
        <v>7</v>
      </c>
      <c r="B14" s="93" t="s">
        <v>21</v>
      </c>
      <c r="C14" s="111">
        <v>202.00002000000001</v>
      </c>
      <c r="D14" s="111">
        <v>0</v>
      </c>
      <c r="E14" s="111">
        <v>0</v>
      </c>
      <c r="F14" s="111">
        <v>855.08842000000004</v>
      </c>
      <c r="G14" s="111">
        <v>0</v>
      </c>
      <c r="H14" s="111">
        <v>0</v>
      </c>
    </row>
    <row r="15" spans="1:8" x14ac:dyDescent="0.25">
      <c r="A15" s="92">
        <v>8</v>
      </c>
      <c r="B15" s="93" t="s">
        <v>22</v>
      </c>
      <c r="C15" s="111">
        <v>301.20296999999999</v>
      </c>
      <c r="D15" s="111">
        <v>0</v>
      </c>
      <c r="E15" s="111">
        <v>0</v>
      </c>
      <c r="F15" s="111">
        <v>195.67303000000001</v>
      </c>
      <c r="G15" s="111">
        <v>0</v>
      </c>
      <c r="H15" s="111">
        <v>0</v>
      </c>
    </row>
    <row r="16" spans="1:8" x14ac:dyDescent="0.25">
      <c r="A16" s="92">
        <v>9</v>
      </c>
      <c r="B16" s="93" t="s">
        <v>23</v>
      </c>
      <c r="C16" s="111">
        <v>44.86542</v>
      </c>
      <c r="D16" s="111">
        <v>0</v>
      </c>
      <c r="E16" s="111">
        <v>0</v>
      </c>
      <c r="F16" s="111">
        <v>9.8088700000000006</v>
      </c>
      <c r="G16" s="111">
        <v>0</v>
      </c>
      <c r="H16" s="111">
        <v>0</v>
      </c>
    </row>
    <row r="17" spans="1:8" x14ac:dyDescent="0.25">
      <c r="A17" s="92">
        <v>10</v>
      </c>
      <c r="B17" s="93" t="s">
        <v>24</v>
      </c>
      <c r="C17" s="111">
        <v>105.53237</v>
      </c>
      <c r="D17" s="111">
        <v>0</v>
      </c>
      <c r="E17" s="111">
        <v>0</v>
      </c>
      <c r="F17" s="111">
        <v>39.708559999999999</v>
      </c>
      <c r="G17" s="111">
        <v>0</v>
      </c>
      <c r="H17" s="111">
        <v>0</v>
      </c>
    </row>
    <row r="18" spans="1:8" x14ac:dyDescent="0.25">
      <c r="A18" s="92">
        <v>11</v>
      </c>
      <c r="B18" s="93" t="s">
        <v>25</v>
      </c>
      <c r="C18" s="111">
        <v>24.782319999999999</v>
      </c>
      <c r="D18" s="111">
        <v>0</v>
      </c>
      <c r="E18" s="111">
        <v>0</v>
      </c>
      <c r="F18" s="111">
        <v>51.244990000000001</v>
      </c>
      <c r="G18" s="111">
        <v>0</v>
      </c>
      <c r="H18" s="111">
        <v>0</v>
      </c>
    </row>
    <row r="19" spans="1:8" x14ac:dyDescent="0.25">
      <c r="A19" s="92">
        <v>12</v>
      </c>
      <c r="B19" s="93" t="s">
        <v>26</v>
      </c>
      <c r="C19" s="111">
        <v>287.25974000000002</v>
      </c>
      <c r="D19" s="111">
        <v>0</v>
      </c>
      <c r="E19" s="111">
        <v>0</v>
      </c>
      <c r="F19" s="111">
        <v>98.608019999999996</v>
      </c>
      <c r="G19" s="111">
        <v>0</v>
      </c>
      <c r="H19" s="111">
        <v>0</v>
      </c>
    </row>
    <row r="20" spans="1:8" x14ac:dyDescent="0.25">
      <c r="A20" s="92">
        <v>13</v>
      </c>
      <c r="B20" s="93" t="s">
        <v>27</v>
      </c>
      <c r="C20" s="111">
        <v>163.00376</v>
      </c>
      <c r="D20" s="111">
        <v>0</v>
      </c>
      <c r="E20" s="111">
        <v>0</v>
      </c>
      <c r="F20" s="111">
        <v>140.90665999999999</v>
      </c>
      <c r="G20" s="111">
        <v>0</v>
      </c>
      <c r="H20" s="111">
        <v>0</v>
      </c>
    </row>
    <row r="21" spans="1:8" x14ac:dyDescent="0.25">
      <c r="A21" s="92">
        <v>14</v>
      </c>
      <c r="B21" s="93" t="s">
        <v>28</v>
      </c>
      <c r="C21" s="111">
        <v>14.422790000000001</v>
      </c>
      <c r="D21" s="111">
        <v>0</v>
      </c>
      <c r="E21" s="111">
        <v>0</v>
      </c>
      <c r="F21" s="111">
        <v>20.999310000000001</v>
      </c>
      <c r="G21" s="111">
        <v>0</v>
      </c>
      <c r="H21" s="111">
        <v>0</v>
      </c>
    </row>
    <row r="22" spans="1:8" ht="24" x14ac:dyDescent="0.25">
      <c r="A22" s="92">
        <v>15</v>
      </c>
      <c r="B22" s="93" t="s">
        <v>29</v>
      </c>
      <c r="C22" s="111">
        <v>49.875819999999997</v>
      </c>
      <c r="D22" s="111">
        <v>0</v>
      </c>
      <c r="E22" s="111">
        <v>0</v>
      </c>
      <c r="F22" s="111">
        <v>26.684650000000001</v>
      </c>
      <c r="G22" s="111">
        <v>0</v>
      </c>
      <c r="H22" s="111">
        <v>0</v>
      </c>
    </row>
    <row r="23" spans="1:8" ht="24" x14ac:dyDescent="0.25">
      <c r="A23" s="92">
        <v>16</v>
      </c>
      <c r="B23" s="93" t="s">
        <v>30</v>
      </c>
      <c r="C23" s="111">
        <v>41.289540000000002</v>
      </c>
      <c r="D23" s="111">
        <v>0</v>
      </c>
      <c r="E23" s="111">
        <v>0</v>
      </c>
      <c r="F23" s="111">
        <v>63.75873</v>
      </c>
      <c r="G23" s="111">
        <v>0</v>
      </c>
      <c r="H23" s="111">
        <v>0</v>
      </c>
    </row>
    <row r="24" spans="1:8" x14ac:dyDescent="0.25">
      <c r="A24" s="92">
        <v>17</v>
      </c>
      <c r="B24" s="93" t="s">
        <v>31</v>
      </c>
      <c r="C24" s="111">
        <v>102.06001999999999</v>
      </c>
      <c r="D24" s="111">
        <v>0</v>
      </c>
      <c r="E24" s="111">
        <v>0</v>
      </c>
      <c r="F24" s="111">
        <v>17.011199999999999</v>
      </c>
      <c r="G24" s="111">
        <v>0</v>
      </c>
      <c r="H24" s="111">
        <v>0</v>
      </c>
    </row>
    <row r="25" spans="1:8" ht="24" x14ac:dyDescent="0.25">
      <c r="A25" s="92">
        <v>18</v>
      </c>
      <c r="B25" s="93" t="s">
        <v>32</v>
      </c>
      <c r="C25" s="111">
        <v>2.7458800000000001</v>
      </c>
      <c r="D25" s="111">
        <v>0</v>
      </c>
      <c r="E25" s="111">
        <v>0</v>
      </c>
      <c r="F25" s="111">
        <v>32.91874</v>
      </c>
      <c r="G25" s="111">
        <v>0</v>
      </c>
      <c r="H25" s="111">
        <v>0</v>
      </c>
    </row>
    <row r="26" spans="1:8" x14ac:dyDescent="0.25">
      <c r="A26" s="92">
        <v>19</v>
      </c>
      <c r="B26" s="93" t="s">
        <v>33</v>
      </c>
      <c r="C26" s="111">
        <v>1.8468</v>
      </c>
      <c r="D26" s="111">
        <v>0</v>
      </c>
      <c r="E26" s="111">
        <v>0</v>
      </c>
      <c r="F26" s="111">
        <v>35.031489999999998</v>
      </c>
      <c r="G26" s="111">
        <v>0</v>
      </c>
      <c r="H26" s="111">
        <v>0</v>
      </c>
    </row>
    <row r="27" spans="1:8" x14ac:dyDescent="0.25">
      <c r="A27" s="92">
        <v>20</v>
      </c>
      <c r="B27" s="93" t="s">
        <v>34</v>
      </c>
      <c r="C27" s="111">
        <v>19.883600000000001</v>
      </c>
      <c r="D27" s="111">
        <v>0</v>
      </c>
      <c r="E27" s="111">
        <v>0</v>
      </c>
      <c r="F27" s="111">
        <v>7.7394400000000001</v>
      </c>
      <c r="G27" s="111">
        <v>0</v>
      </c>
      <c r="H27" s="111">
        <v>0</v>
      </c>
    </row>
    <row r="28" spans="1:8" x14ac:dyDescent="0.25">
      <c r="A28" s="92">
        <v>21</v>
      </c>
      <c r="B28" s="93" t="s">
        <v>35</v>
      </c>
      <c r="C28" s="111">
        <v>6.9243499999999996</v>
      </c>
      <c r="D28" s="111">
        <v>0</v>
      </c>
      <c r="E28" s="111">
        <v>0</v>
      </c>
      <c r="F28" s="111">
        <v>2.1800000000000002</v>
      </c>
      <c r="G28" s="111">
        <v>0</v>
      </c>
      <c r="H28" s="111">
        <v>0</v>
      </c>
    </row>
    <row r="29" spans="1:8" ht="24" x14ac:dyDescent="0.25">
      <c r="A29" s="92">
        <v>22</v>
      </c>
      <c r="B29" s="93" t="s">
        <v>36</v>
      </c>
      <c r="C29" s="111">
        <v>53.77017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</row>
    <row r="30" spans="1:8" x14ac:dyDescent="0.25">
      <c r="A30" s="92">
        <v>23</v>
      </c>
      <c r="B30" s="93" t="s">
        <v>134</v>
      </c>
      <c r="C30" s="111">
        <v>25.493780000000001</v>
      </c>
      <c r="D30" s="111">
        <v>0</v>
      </c>
      <c r="E30" s="111">
        <v>0</v>
      </c>
      <c r="F30" s="111">
        <v>3.1621299999999999</v>
      </c>
      <c r="G30" s="111">
        <v>0</v>
      </c>
      <c r="H30" s="111">
        <v>0</v>
      </c>
    </row>
    <row r="31" spans="1:8" x14ac:dyDescent="0.25">
      <c r="A31" s="92">
        <v>24</v>
      </c>
      <c r="B31" s="93" t="s">
        <v>37</v>
      </c>
      <c r="C31" s="111">
        <v>82.477620000000002</v>
      </c>
      <c r="D31" s="111">
        <v>0</v>
      </c>
      <c r="E31" s="111">
        <v>0</v>
      </c>
      <c r="F31" s="111">
        <v>0.78339000000000003</v>
      </c>
      <c r="G31" s="111">
        <v>0</v>
      </c>
      <c r="H31" s="111">
        <v>0</v>
      </c>
    </row>
    <row r="32" spans="1:8" x14ac:dyDescent="0.25">
      <c r="A32" s="92">
        <v>25</v>
      </c>
      <c r="B32" s="93" t="s">
        <v>38</v>
      </c>
      <c r="C32" s="111">
        <v>71.836939999999998</v>
      </c>
      <c r="D32" s="111">
        <v>0</v>
      </c>
      <c r="E32" s="111">
        <v>0</v>
      </c>
      <c r="F32" s="111">
        <v>13.15133</v>
      </c>
      <c r="G32" s="111">
        <v>0</v>
      </c>
      <c r="H32" s="111">
        <v>0</v>
      </c>
    </row>
    <row r="33" spans="1:8" x14ac:dyDescent="0.25">
      <c r="A33" s="92">
        <v>26</v>
      </c>
      <c r="B33" s="93" t="s">
        <v>39</v>
      </c>
      <c r="C33" s="111">
        <v>35.774889999999999</v>
      </c>
      <c r="D33" s="111">
        <v>0</v>
      </c>
      <c r="E33" s="111">
        <v>0</v>
      </c>
      <c r="F33" s="111">
        <v>27.290120000000002</v>
      </c>
      <c r="G33" s="111">
        <v>0</v>
      </c>
      <c r="H33" s="111">
        <v>0</v>
      </c>
    </row>
    <row r="34" spans="1:8" ht="24" x14ac:dyDescent="0.25">
      <c r="A34" s="92">
        <v>27</v>
      </c>
      <c r="B34" s="93" t="s">
        <v>40</v>
      </c>
      <c r="C34" s="111">
        <v>141.34395000000001</v>
      </c>
      <c r="D34" s="111">
        <v>0</v>
      </c>
      <c r="E34" s="111">
        <v>0</v>
      </c>
      <c r="F34" s="111">
        <v>0.51802000000000004</v>
      </c>
      <c r="G34" s="111">
        <v>0</v>
      </c>
      <c r="H34" s="111">
        <v>0</v>
      </c>
    </row>
    <row r="35" spans="1:8" x14ac:dyDescent="0.25">
      <c r="A35" s="92">
        <v>28</v>
      </c>
      <c r="B35" s="93" t="s">
        <v>41</v>
      </c>
      <c r="C35" s="111">
        <v>40.810569999999998</v>
      </c>
      <c r="D35" s="111">
        <v>0</v>
      </c>
      <c r="E35" s="111">
        <v>0</v>
      </c>
      <c r="F35" s="111">
        <v>23.791969999999999</v>
      </c>
      <c r="G35" s="111">
        <v>0</v>
      </c>
      <c r="H35" s="111">
        <v>0</v>
      </c>
    </row>
    <row r="36" spans="1:8" ht="24" x14ac:dyDescent="0.25">
      <c r="A36" s="92">
        <v>29</v>
      </c>
      <c r="B36" s="93" t="s">
        <v>42</v>
      </c>
      <c r="C36" s="111">
        <v>35.581910000000001</v>
      </c>
      <c r="D36" s="111">
        <v>0</v>
      </c>
      <c r="E36" s="111">
        <v>0</v>
      </c>
      <c r="F36" s="111">
        <v>0.46762999999999999</v>
      </c>
      <c r="G36" s="111">
        <v>0</v>
      </c>
      <c r="H36" s="111">
        <v>0</v>
      </c>
    </row>
    <row r="37" spans="1:8" x14ac:dyDescent="0.25">
      <c r="A37" s="92">
        <v>30</v>
      </c>
      <c r="B37" s="93" t="s">
        <v>43</v>
      </c>
      <c r="C37" s="111">
        <v>15.86426</v>
      </c>
      <c r="D37" s="111">
        <v>0</v>
      </c>
      <c r="E37" s="111">
        <v>0</v>
      </c>
      <c r="F37" s="111">
        <v>116.01472</v>
      </c>
      <c r="G37" s="111">
        <v>0</v>
      </c>
      <c r="H37" s="111">
        <v>0</v>
      </c>
    </row>
    <row r="38" spans="1:8" ht="24" x14ac:dyDescent="0.25">
      <c r="A38" s="92">
        <v>31</v>
      </c>
      <c r="B38" s="93" t="s">
        <v>44</v>
      </c>
      <c r="C38" s="111">
        <v>5.6442199999999998</v>
      </c>
      <c r="D38" s="111">
        <v>0</v>
      </c>
      <c r="E38" s="111">
        <v>0</v>
      </c>
      <c r="F38" s="111">
        <v>16.939430000000002</v>
      </c>
      <c r="G38" s="111">
        <v>0</v>
      </c>
      <c r="H38" s="111">
        <v>0</v>
      </c>
    </row>
    <row r="39" spans="1:8" ht="24" x14ac:dyDescent="0.25">
      <c r="A39" s="92">
        <v>32</v>
      </c>
      <c r="B39" s="93" t="s">
        <v>45</v>
      </c>
      <c r="C39" s="111">
        <v>33.019550000000002</v>
      </c>
      <c r="D39" s="111">
        <v>0</v>
      </c>
      <c r="E39" s="111">
        <v>0</v>
      </c>
      <c r="F39" s="111">
        <v>24.50911</v>
      </c>
      <c r="G39" s="111">
        <v>0</v>
      </c>
      <c r="H39" s="111">
        <v>0</v>
      </c>
    </row>
    <row r="40" spans="1:8" x14ac:dyDescent="0.25">
      <c r="A40" s="92">
        <v>33</v>
      </c>
      <c r="B40" s="93" t="s">
        <v>46</v>
      </c>
      <c r="C40" s="111">
        <v>4.81088</v>
      </c>
      <c r="D40" s="111">
        <v>0</v>
      </c>
      <c r="E40" s="111">
        <v>0</v>
      </c>
      <c r="F40" s="111">
        <v>219.31761</v>
      </c>
      <c r="G40" s="111">
        <v>0</v>
      </c>
      <c r="H40" s="111">
        <v>0</v>
      </c>
    </row>
    <row r="41" spans="1:8" x14ac:dyDescent="0.25">
      <c r="A41" s="92">
        <v>34</v>
      </c>
      <c r="B41" s="93" t="s">
        <v>47</v>
      </c>
      <c r="C41" s="111">
        <v>47.463909999999998</v>
      </c>
      <c r="D41" s="111">
        <v>0</v>
      </c>
      <c r="E41" s="111">
        <v>0</v>
      </c>
      <c r="F41" s="111">
        <v>84.548450000000003</v>
      </c>
      <c r="G41" s="111">
        <v>0</v>
      </c>
      <c r="H41" s="111">
        <v>0</v>
      </c>
    </row>
    <row r="42" spans="1:8" x14ac:dyDescent="0.25">
      <c r="A42" s="92">
        <v>35</v>
      </c>
      <c r="B42" s="93" t="s">
        <v>48</v>
      </c>
      <c r="C42" s="111">
        <v>0</v>
      </c>
      <c r="D42" s="111">
        <v>0</v>
      </c>
      <c r="E42" s="111">
        <v>0</v>
      </c>
      <c r="F42" s="111">
        <v>67.151390000000006</v>
      </c>
      <c r="G42" s="111">
        <v>0</v>
      </c>
      <c r="H42" s="111">
        <v>0</v>
      </c>
    </row>
    <row r="43" spans="1:8" ht="24" x14ac:dyDescent="0.25">
      <c r="A43" s="92">
        <v>36</v>
      </c>
      <c r="B43" s="93" t="s">
        <v>49</v>
      </c>
      <c r="C43" s="111">
        <v>27.150759999999998</v>
      </c>
      <c r="D43" s="111">
        <v>0</v>
      </c>
      <c r="E43" s="111">
        <v>0</v>
      </c>
      <c r="F43" s="111">
        <v>27.593060000000001</v>
      </c>
      <c r="G43" s="111">
        <v>0</v>
      </c>
      <c r="H43" s="111">
        <v>0</v>
      </c>
    </row>
    <row r="44" spans="1:8" x14ac:dyDescent="0.25">
      <c r="A44" s="92">
        <v>37</v>
      </c>
      <c r="B44" s="93" t="s">
        <v>50</v>
      </c>
      <c r="C44" s="112">
        <v>0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</row>
    <row r="45" spans="1:8" ht="24" x14ac:dyDescent="0.25">
      <c r="A45" s="92">
        <v>38</v>
      </c>
      <c r="B45" s="93" t="s">
        <v>51</v>
      </c>
      <c r="C45" s="111">
        <v>26.738579999999999</v>
      </c>
      <c r="D45" s="111">
        <v>0</v>
      </c>
      <c r="E45" s="111">
        <v>0</v>
      </c>
      <c r="F45" s="111">
        <v>32.224879999999999</v>
      </c>
      <c r="G45" s="111">
        <v>0</v>
      </c>
      <c r="H45" s="111">
        <v>0</v>
      </c>
    </row>
    <row r="46" spans="1:8" x14ac:dyDescent="0.25">
      <c r="A46" s="92">
        <v>39</v>
      </c>
      <c r="B46" s="93" t="s">
        <v>52</v>
      </c>
      <c r="C46" s="111">
        <v>30.669530000000002</v>
      </c>
      <c r="D46" s="111">
        <v>0</v>
      </c>
      <c r="E46" s="111">
        <v>0</v>
      </c>
      <c r="F46" s="111">
        <v>60.380789999999998</v>
      </c>
      <c r="G46" s="111">
        <v>0</v>
      </c>
      <c r="H46" s="111">
        <v>0</v>
      </c>
    </row>
    <row r="47" spans="1:8" x14ac:dyDescent="0.25">
      <c r="A47" s="92">
        <v>40</v>
      </c>
      <c r="B47" s="93" t="s">
        <v>53</v>
      </c>
      <c r="C47" s="111">
        <v>136.02089000000001</v>
      </c>
      <c r="D47" s="111">
        <v>0</v>
      </c>
      <c r="E47" s="111">
        <v>0</v>
      </c>
      <c r="F47" s="111">
        <v>53.972099999999998</v>
      </c>
      <c r="G47" s="111">
        <v>0</v>
      </c>
      <c r="H47" s="111">
        <v>0</v>
      </c>
    </row>
    <row r="48" spans="1:8" x14ac:dyDescent="0.25">
      <c r="A48" s="92">
        <v>41</v>
      </c>
      <c r="B48" s="93" t="s">
        <v>54</v>
      </c>
      <c r="C48" s="111">
        <v>101.6977</v>
      </c>
      <c r="D48" s="111">
        <v>0</v>
      </c>
      <c r="E48" s="111">
        <v>0</v>
      </c>
      <c r="F48" s="111">
        <v>175.90074000000001</v>
      </c>
      <c r="G48" s="111">
        <v>0</v>
      </c>
      <c r="H48" s="111">
        <v>0</v>
      </c>
    </row>
    <row r="49" spans="1:8" x14ac:dyDescent="0.25">
      <c r="A49" s="92">
        <v>42</v>
      </c>
      <c r="B49" s="93" t="s">
        <v>55</v>
      </c>
      <c r="C49" s="111">
        <v>44.851680000000002</v>
      </c>
      <c r="D49" s="111">
        <v>0</v>
      </c>
      <c r="E49" s="111">
        <v>0</v>
      </c>
      <c r="F49" s="111">
        <v>96.360429999999994</v>
      </c>
      <c r="G49" s="111">
        <v>0</v>
      </c>
      <c r="H49" s="111">
        <v>0</v>
      </c>
    </row>
    <row r="50" spans="1:8" x14ac:dyDescent="0.25">
      <c r="A50" s="92">
        <v>43</v>
      </c>
      <c r="B50" s="93" t="s">
        <v>56</v>
      </c>
      <c r="C50" s="111">
        <v>55.519770000000001</v>
      </c>
      <c r="D50" s="111">
        <v>0</v>
      </c>
      <c r="E50" s="111">
        <v>0</v>
      </c>
      <c r="F50" s="111">
        <v>99.917569999999998</v>
      </c>
      <c r="G50" s="111">
        <v>0</v>
      </c>
      <c r="H50" s="111">
        <v>0</v>
      </c>
    </row>
    <row r="51" spans="1:8" x14ac:dyDescent="0.25">
      <c r="A51" s="92">
        <v>44</v>
      </c>
      <c r="B51" s="93" t="s">
        <v>57</v>
      </c>
      <c r="C51" s="111">
        <v>690.97190000000001</v>
      </c>
      <c r="D51" s="111">
        <v>0</v>
      </c>
      <c r="E51" s="111">
        <v>0</v>
      </c>
      <c r="F51" s="111">
        <v>8.9719999999999995</v>
      </c>
      <c r="G51" s="111">
        <v>0</v>
      </c>
      <c r="H51" s="111">
        <v>0</v>
      </c>
    </row>
    <row r="52" spans="1:8" x14ac:dyDescent="0.25">
      <c r="A52" s="92">
        <v>45</v>
      </c>
      <c r="B52" s="93" t="s">
        <v>58</v>
      </c>
      <c r="C52" s="111">
        <v>11.22278</v>
      </c>
      <c r="D52" s="111">
        <v>0</v>
      </c>
      <c r="E52" s="111">
        <v>0</v>
      </c>
      <c r="F52" s="111">
        <v>71.024799999999999</v>
      </c>
      <c r="G52" s="111">
        <v>0</v>
      </c>
      <c r="H52" s="111">
        <v>0</v>
      </c>
    </row>
    <row r="53" spans="1:8" x14ac:dyDescent="0.25">
      <c r="A53" s="92">
        <v>46</v>
      </c>
      <c r="B53" s="93" t="s">
        <v>59</v>
      </c>
      <c r="C53" s="111">
        <v>70.608810000000005</v>
      </c>
      <c r="D53" s="111">
        <v>0</v>
      </c>
      <c r="E53" s="111">
        <v>0</v>
      </c>
      <c r="F53" s="111">
        <v>58.809480000000001</v>
      </c>
      <c r="G53" s="111">
        <v>0</v>
      </c>
      <c r="H53" s="111">
        <v>0</v>
      </c>
    </row>
    <row r="54" spans="1:8" x14ac:dyDescent="0.25">
      <c r="A54" s="92">
        <v>47</v>
      </c>
      <c r="B54" s="93" t="s">
        <v>60</v>
      </c>
      <c r="C54" s="111">
        <v>60.425240000000002</v>
      </c>
      <c r="D54" s="111">
        <v>0</v>
      </c>
      <c r="E54" s="111">
        <v>0</v>
      </c>
      <c r="F54" s="111">
        <v>37.000570000000003</v>
      </c>
      <c r="G54" s="111">
        <v>0</v>
      </c>
      <c r="H54" s="111">
        <v>0</v>
      </c>
    </row>
    <row r="55" spans="1:8" x14ac:dyDescent="0.25">
      <c r="A55" s="92">
        <v>48</v>
      </c>
      <c r="B55" s="93" t="s">
        <v>61</v>
      </c>
      <c r="C55" s="111">
        <v>172.52246</v>
      </c>
      <c r="D55" s="111">
        <v>0</v>
      </c>
      <c r="E55" s="111">
        <v>0</v>
      </c>
      <c r="F55" s="111">
        <v>9.0052400000000006</v>
      </c>
      <c r="G55" s="111">
        <v>0</v>
      </c>
      <c r="H55" s="111">
        <v>0</v>
      </c>
    </row>
    <row r="56" spans="1:8" x14ac:dyDescent="0.25">
      <c r="A56" s="92">
        <v>49</v>
      </c>
      <c r="B56" s="93" t="s">
        <v>62</v>
      </c>
      <c r="C56" s="111">
        <v>7.68194</v>
      </c>
      <c r="D56" s="111">
        <v>0</v>
      </c>
      <c r="E56" s="111">
        <v>0</v>
      </c>
      <c r="F56" s="111">
        <v>12.19669</v>
      </c>
      <c r="G56" s="111">
        <v>0</v>
      </c>
      <c r="H56" s="111">
        <v>0</v>
      </c>
    </row>
    <row r="57" spans="1:8" x14ac:dyDescent="0.25">
      <c r="A57" s="92">
        <v>50</v>
      </c>
      <c r="B57" s="93" t="s">
        <v>63</v>
      </c>
      <c r="C57" s="111">
        <v>0.81074999999999997</v>
      </c>
      <c r="D57" s="111">
        <v>0</v>
      </c>
      <c r="E57" s="111">
        <v>0</v>
      </c>
      <c r="F57" s="111">
        <v>142.69286</v>
      </c>
      <c r="G57" s="111">
        <v>0</v>
      </c>
      <c r="H57" s="111">
        <v>0</v>
      </c>
    </row>
    <row r="58" spans="1:8" x14ac:dyDescent="0.25">
      <c r="A58" s="92">
        <v>51</v>
      </c>
      <c r="B58" s="93" t="s">
        <v>64</v>
      </c>
      <c r="C58" s="111">
        <v>0</v>
      </c>
      <c r="D58" s="111">
        <v>0</v>
      </c>
      <c r="E58" s="111">
        <v>0</v>
      </c>
      <c r="F58" s="111">
        <v>58.056199999999997</v>
      </c>
      <c r="G58" s="111">
        <v>0</v>
      </c>
      <c r="H58" s="111">
        <v>0</v>
      </c>
    </row>
    <row r="59" spans="1:8" x14ac:dyDescent="0.25">
      <c r="A59" s="92">
        <v>52</v>
      </c>
      <c r="B59" s="93" t="s">
        <v>65</v>
      </c>
      <c r="C59" s="111">
        <v>503.61592999999999</v>
      </c>
      <c r="D59" s="111">
        <v>0</v>
      </c>
      <c r="E59" s="111">
        <v>0</v>
      </c>
      <c r="F59" s="111">
        <v>115.46467</v>
      </c>
      <c r="G59" s="111">
        <v>0</v>
      </c>
      <c r="H59" s="111">
        <v>0</v>
      </c>
    </row>
    <row r="60" spans="1:8" x14ac:dyDescent="0.25">
      <c r="A60" s="92">
        <v>53</v>
      </c>
      <c r="B60" s="93" t="s">
        <v>66</v>
      </c>
      <c r="C60" s="111">
        <v>0</v>
      </c>
      <c r="D60" s="111">
        <v>0</v>
      </c>
      <c r="E60" s="111">
        <v>0</v>
      </c>
      <c r="F60" s="111">
        <v>118.9525</v>
      </c>
      <c r="G60" s="111">
        <v>0</v>
      </c>
      <c r="H60" s="111">
        <v>0</v>
      </c>
    </row>
    <row r="61" spans="1:8" x14ac:dyDescent="0.25">
      <c r="A61" s="92">
        <v>54</v>
      </c>
      <c r="B61" s="93" t="s">
        <v>67</v>
      </c>
      <c r="C61" s="111">
        <v>6.2548500000000002</v>
      </c>
      <c r="D61" s="111">
        <v>0</v>
      </c>
      <c r="E61" s="111">
        <v>0</v>
      </c>
      <c r="F61" s="111">
        <v>52.644449999999999</v>
      </c>
      <c r="G61" s="111">
        <v>0</v>
      </c>
      <c r="H61" s="111">
        <v>0</v>
      </c>
    </row>
    <row r="62" spans="1:8" x14ac:dyDescent="0.25">
      <c r="A62" s="92">
        <v>55</v>
      </c>
      <c r="B62" s="93" t="s">
        <v>68</v>
      </c>
      <c r="C62" s="111">
        <v>48.825290000000003</v>
      </c>
      <c r="D62" s="111">
        <v>44.004669999999997</v>
      </c>
      <c r="E62" s="111">
        <v>0</v>
      </c>
      <c r="F62" s="111">
        <v>44.556010000000001</v>
      </c>
      <c r="G62" s="111">
        <v>0</v>
      </c>
      <c r="H62" s="111">
        <v>0</v>
      </c>
    </row>
    <row r="63" spans="1:8" x14ac:dyDescent="0.25">
      <c r="A63" s="92">
        <v>56</v>
      </c>
      <c r="B63" s="93" t="s">
        <v>69</v>
      </c>
      <c r="C63" s="111">
        <v>15.650869999999999</v>
      </c>
      <c r="D63" s="111">
        <v>0</v>
      </c>
      <c r="E63" s="111">
        <v>0</v>
      </c>
      <c r="F63" s="111">
        <v>77.314179999999993</v>
      </c>
      <c r="G63" s="111">
        <v>0</v>
      </c>
      <c r="H63" s="111">
        <v>0</v>
      </c>
    </row>
    <row r="64" spans="1:8" x14ac:dyDescent="0.25">
      <c r="A64" s="92">
        <v>57</v>
      </c>
      <c r="B64" s="93" t="s">
        <v>70</v>
      </c>
      <c r="C64" s="111">
        <v>0</v>
      </c>
      <c r="D64" s="111">
        <v>0</v>
      </c>
      <c r="E64" s="111">
        <v>0</v>
      </c>
      <c r="F64" s="111">
        <v>91.697040000000001</v>
      </c>
      <c r="G64" s="111">
        <v>0</v>
      </c>
      <c r="H64" s="111">
        <v>0</v>
      </c>
    </row>
    <row r="65" spans="1:8" x14ac:dyDescent="0.25">
      <c r="A65" s="92">
        <v>58</v>
      </c>
      <c r="B65" s="93" t="s">
        <v>71</v>
      </c>
      <c r="C65" s="111">
        <v>25.4636</v>
      </c>
      <c r="D65" s="111">
        <v>0</v>
      </c>
      <c r="E65" s="111">
        <v>0</v>
      </c>
      <c r="F65" s="111">
        <v>113.24708</v>
      </c>
      <c r="G65" s="111">
        <v>0</v>
      </c>
      <c r="H65" s="111">
        <v>0</v>
      </c>
    </row>
    <row r="66" spans="1:8" x14ac:dyDescent="0.25">
      <c r="A66" s="92">
        <v>59</v>
      </c>
      <c r="B66" s="93" t="s">
        <v>72</v>
      </c>
      <c r="C66" s="111">
        <v>6.6149800000000001</v>
      </c>
      <c r="D66" s="111">
        <v>0</v>
      </c>
      <c r="E66" s="111">
        <v>0</v>
      </c>
      <c r="F66" s="111">
        <v>14.93929</v>
      </c>
      <c r="G66" s="111">
        <v>0</v>
      </c>
      <c r="H66" s="111">
        <v>0</v>
      </c>
    </row>
    <row r="67" spans="1:8" x14ac:dyDescent="0.25">
      <c r="A67" s="92">
        <v>60</v>
      </c>
      <c r="B67" s="93" t="s">
        <v>73</v>
      </c>
      <c r="C67" s="111">
        <v>0</v>
      </c>
      <c r="D67" s="111">
        <v>0</v>
      </c>
      <c r="E67" s="111">
        <v>0</v>
      </c>
      <c r="F67" s="111">
        <v>42.089660000000002</v>
      </c>
      <c r="G67" s="111">
        <v>0</v>
      </c>
      <c r="H67" s="111">
        <v>0</v>
      </c>
    </row>
    <row r="68" spans="1:8" x14ac:dyDescent="0.25">
      <c r="A68" s="92">
        <v>61</v>
      </c>
      <c r="B68" s="93" t="s">
        <v>74</v>
      </c>
      <c r="C68" s="111">
        <v>4.4355099999999998</v>
      </c>
      <c r="D68" s="111">
        <v>0</v>
      </c>
      <c r="E68" s="111">
        <v>0</v>
      </c>
      <c r="F68" s="111">
        <v>0.152</v>
      </c>
      <c r="G68" s="111">
        <v>0</v>
      </c>
      <c r="H68" s="111">
        <v>0</v>
      </c>
    </row>
    <row r="69" spans="1:8" x14ac:dyDescent="0.25">
      <c r="A69" s="92">
        <v>62</v>
      </c>
      <c r="B69" s="93" t="s">
        <v>75</v>
      </c>
      <c r="C69" s="111">
        <v>0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</row>
    <row r="70" spans="1:8" x14ac:dyDescent="0.25">
      <c r="A70" s="92">
        <v>63</v>
      </c>
      <c r="B70" s="93" t="s">
        <v>76</v>
      </c>
      <c r="C70" s="111">
        <v>0</v>
      </c>
      <c r="D70" s="111">
        <v>0</v>
      </c>
      <c r="E70" s="111">
        <v>0</v>
      </c>
      <c r="F70" s="111">
        <v>8.8998399999999993</v>
      </c>
      <c r="G70" s="111">
        <v>0</v>
      </c>
      <c r="H70" s="111">
        <v>0</v>
      </c>
    </row>
    <row r="71" spans="1:8" x14ac:dyDescent="0.25">
      <c r="A71" s="92">
        <v>64</v>
      </c>
      <c r="B71" s="93" t="s">
        <v>77</v>
      </c>
      <c r="C71" s="111">
        <v>0</v>
      </c>
      <c r="D71" s="111">
        <v>0</v>
      </c>
      <c r="E71" s="111">
        <v>0</v>
      </c>
      <c r="F71" s="111">
        <v>5.1069999999999997E-2</v>
      </c>
      <c r="G71" s="111">
        <v>0</v>
      </c>
      <c r="H71" s="111">
        <v>0</v>
      </c>
    </row>
    <row r="72" spans="1:8" x14ac:dyDescent="0.25">
      <c r="A72" s="92">
        <v>65</v>
      </c>
      <c r="B72" s="93" t="s">
        <v>78</v>
      </c>
      <c r="C72" s="111">
        <v>0</v>
      </c>
      <c r="D72" s="111">
        <v>0</v>
      </c>
      <c r="E72" s="111">
        <v>0</v>
      </c>
      <c r="F72" s="111">
        <v>0.65751999999999999</v>
      </c>
      <c r="G72" s="111">
        <v>0</v>
      </c>
      <c r="H72" s="111">
        <v>0</v>
      </c>
    </row>
    <row r="73" spans="1:8" ht="24" x14ac:dyDescent="0.25">
      <c r="A73" s="92">
        <v>66</v>
      </c>
      <c r="B73" s="93" t="s">
        <v>79</v>
      </c>
      <c r="C73" s="111">
        <v>0</v>
      </c>
      <c r="D73" s="111">
        <v>0</v>
      </c>
      <c r="E73" s="111">
        <v>0</v>
      </c>
      <c r="F73" s="111">
        <v>0</v>
      </c>
      <c r="G73" s="111">
        <v>0</v>
      </c>
      <c r="H73" s="111">
        <v>0</v>
      </c>
    </row>
    <row r="74" spans="1:8" x14ac:dyDescent="0.25">
      <c r="A74" s="92">
        <v>67</v>
      </c>
      <c r="B74" s="93" t="s">
        <v>80</v>
      </c>
      <c r="C74" s="111">
        <v>21.552530000000001</v>
      </c>
      <c r="D74" s="111">
        <v>0</v>
      </c>
      <c r="E74" s="111">
        <v>0</v>
      </c>
      <c r="F74" s="111">
        <v>15.406090000000001</v>
      </c>
      <c r="G74" s="111">
        <v>0</v>
      </c>
      <c r="H74" s="111">
        <v>0</v>
      </c>
    </row>
    <row r="75" spans="1:8" x14ac:dyDescent="0.25">
      <c r="A75" s="92">
        <v>68</v>
      </c>
      <c r="B75" s="93" t="s">
        <v>81</v>
      </c>
      <c r="C75" s="111">
        <v>0</v>
      </c>
      <c r="D75" s="111">
        <v>0</v>
      </c>
      <c r="E75" s="111">
        <v>0</v>
      </c>
      <c r="F75" s="111">
        <v>0</v>
      </c>
      <c r="G75" s="111">
        <v>0</v>
      </c>
      <c r="H75" s="111">
        <v>0</v>
      </c>
    </row>
    <row r="76" spans="1:8" x14ac:dyDescent="0.25">
      <c r="A76" s="92">
        <v>69</v>
      </c>
      <c r="B76" s="93" t="s">
        <v>82</v>
      </c>
      <c r="C76" s="111">
        <v>0</v>
      </c>
      <c r="D76" s="111">
        <v>0</v>
      </c>
      <c r="E76" s="111">
        <v>0</v>
      </c>
      <c r="F76" s="111">
        <v>4.0292899999999996</v>
      </c>
      <c r="G76" s="111">
        <v>0</v>
      </c>
      <c r="H76" s="111">
        <v>0</v>
      </c>
    </row>
    <row r="77" spans="1:8" ht="38.25" x14ac:dyDescent="0.25">
      <c r="A77" s="64">
        <v>70</v>
      </c>
      <c r="B77" s="20" t="s">
        <v>162</v>
      </c>
      <c r="C77" s="39">
        <v>2.0095900000000002</v>
      </c>
      <c r="D77" s="39">
        <v>0</v>
      </c>
      <c r="E77" s="39">
        <v>0</v>
      </c>
      <c r="F77" s="39">
        <v>29.633099999999999</v>
      </c>
      <c r="G77" s="39">
        <v>0</v>
      </c>
      <c r="H77" s="39">
        <v>0</v>
      </c>
    </row>
    <row r="78" spans="1:8" ht="38.25" x14ac:dyDescent="0.25">
      <c r="A78" s="64">
        <v>71</v>
      </c>
      <c r="B78" s="20" t="s">
        <v>156</v>
      </c>
      <c r="C78" s="48">
        <v>0.9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</row>
    <row r="79" spans="1:8" ht="38.25" x14ac:dyDescent="0.25">
      <c r="A79" s="64">
        <v>72</v>
      </c>
      <c r="B79" s="20" t="s">
        <v>157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</row>
    <row r="80" spans="1:8" ht="38.25" x14ac:dyDescent="0.25">
      <c r="A80" s="64">
        <v>73</v>
      </c>
      <c r="B80" s="20" t="s">
        <v>158</v>
      </c>
      <c r="C80" s="39">
        <v>0</v>
      </c>
      <c r="D80" s="39">
        <v>0</v>
      </c>
      <c r="E80" s="39">
        <v>0</v>
      </c>
      <c r="F80" s="39">
        <v>31.7</v>
      </c>
      <c r="G80" s="39">
        <v>0</v>
      </c>
      <c r="H80" s="39">
        <v>0</v>
      </c>
    </row>
    <row r="81" spans="1:8" ht="38.25" x14ac:dyDescent="0.25">
      <c r="A81" s="64">
        <v>74</v>
      </c>
      <c r="B81" s="20" t="s">
        <v>159</v>
      </c>
      <c r="C81" s="48">
        <v>0.15</v>
      </c>
      <c r="D81" s="48">
        <v>0</v>
      </c>
      <c r="E81" s="48">
        <v>0</v>
      </c>
      <c r="F81" s="48">
        <v>1.6</v>
      </c>
      <c r="G81" s="39">
        <v>0</v>
      </c>
      <c r="H81" s="39">
        <v>0</v>
      </c>
    </row>
    <row r="82" spans="1:8" s="25" customFormat="1" ht="18" customHeight="1" x14ac:dyDescent="0.25">
      <c r="A82" s="64">
        <v>75</v>
      </c>
      <c r="B82" s="7" t="s">
        <v>163</v>
      </c>
      <c r="C82" s="39">
        <v>27.10783</v>
      </c>
      <c r="D82" s="39">
        <v>0</v>
      </c>
      <c r="E82" s="39">
        <v>0</v>
      </c>
      <c r="F82" s="39">
        <v>25.953769999999999</v>
      </c>
      <c r="G82" s="39">
        <v>0</v>
      </c>
      <c r="H82" s="39">
        <v>0</v>
      </c>
    </row>
    <row r="83" spans="1:8" s="25" customFormat="1" ht="18" customHeight="1" x14ac:dyDescent="0.25">
      <c r="A83" s="64">
        <v>76</v>
      </c>
      <c r="B83" s="58" t="s">
        <v>169</v>
      </c>
      <c r="C83" s="53">
        <v>2220.3000000000002</v>
      </c>
      <c r="D83" s="53">
        <v>0</v>
      </c>
      <c r="E83" s="53">
        <v>0</v>
      </c>
      <c r="F83" s="53">
        <v>260.89999999999998</v>
      </c>
      <c r="G83" s="53">
        <v>0</v>
      </c>
      <c r="H83" s="53">
        <v>0</v>
      </c>
    </row>
    <row r="84" spans="1:8" s="25" customFormat="1" ht="18" customHeight="1" x14ac:dyDescent="0.25">
      <c r="A84" s="64">
        <v>77</v>
      </c>
      <c r="B84" s="57" t="s">
        <v>171</v>
      </c>
      <c r="C84" s="53">
        <v>-6.3</v>
      </c>
      <c r="D84" s="53">
        <v>0</v>
      </c>
      <c r="E84" s="53">
        <v>0</v>
      </c>
      <c r="F84" s="53">
        <v>13.9</v>
      </c>
      <c r="G84" s="53">
        <v>0</v>
      </c>
      <c r="H84" s="53">
        <v>0</v>
      </c>
    </row>
    <row r="85" spans="1:8" s="25" customFormat="1" ht="18" customHeight="1" x14ac:dyDescent="0.25">
      <c r="A85" s="64">
        <v>78</v>
      </c>
      <c r="B85" s="58" t="s">
        <v>173</v>
      </c>
      <c r="C85" s="53">
        <v>368.5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</row>
    <row r="86" spans="1:8" s="25" customFormat="1" ht="18" customHeight="1" x14ac:dyDescent="0.25">
      <c r="A86" s="64">
        <v>79</v>
      </c>
      <c r="B86" s="7" t="s">
        <v>165</v>
      </c>
      <c r="C86" s="39">
        <v>5023.88</v>
      </c>
      <c r="D86" s="39">
        <v>0</v>
      </c>
      <c r="E86" s="39">
        <v>0</v>
      </c>
      <c r="F86" s="39">
        <v>254.31</v>
      </c>
      <c r="G86" s="39">
        <v>0</v>
      </c>
      <c r="H86" s="39">
        <v>0</v>
      </c>
    </row>
    <row r="87" spans="1:8" s="25" customFormat="1" x14ac:dyDescent="0.25">
      <c r="A87" s="79"/>
      <c r="B87" s="66" t="s">
        <v>164</v>
      </c>
      <c r="C87" s="63">
        <f t="shared" ref="C87:H87" si="0">SUM(C8:C86)</f>
        <v>12112.86017</v>
      </c>
      <c r="D87" s="63">
        <f t="shared" si="0"/>
        <v>44.004669999999997</v>
      </c>
      <c r="E87" s="63">
        <f t="shared" si="0"/>
        <v>0</v>
      </c>
      <c r="F87" s="63">
        <f t="shared" si="0"/>
        <v>5392.7833800000044</v>
      </c>
      <c r="G87" s="63">
        <f t="shared" si="0"/>
        <v>0</v>
      </c>
      <c r="H87" s="63">
        <f t="shared" si="0"/>
        <v>0</v>
      </c>
    </row>
    <row r="89" spans="1:8" x14ac:dyDescent="0.25">
      <c r="B89" s="3"/>
    </row>
  </sheetData>
  <mergeCells count="10">
    <mergeCell ref="A2:H2"/>
    <mergeCell ref="H5:H7"/>
    <mergeCell ref="C6:C7"/>
    <mergeCell ref="D6:E6"/>
    <mergeCell ref="F6:F7"/>
    <mergeCell ref="G6:G7"/>
    <mergeCell ref="A5:A7"/>
    <mergeCell ref="B5:B7"/>
    <mergeCell ref="C5:E5"/>
    <mergeCell ref="F5:G5"/>
  </mergeCells>
  <pageMargins left="0.23622047244094491" right="0.23622047244094491" top="0.74803149606299213" bottom="0.74803149606299213" header="0.31496062992125984" footer="0.31496062992125984"/>
  <pageSetup paperSize="9" scale="7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Форма 1</vt:lpstr>
      <vt:lpstr>Форма 2</vt:lpstr>
      <vt:lpstr>Форма 3</vt:lpstr>
      <vt:lpstr>Форма 4</vt:lpstr>
      <vt:lpstr>Форма 5</vt:lpstr>
      <vt:lpstr>Форма 6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4'!Заголовки_для_печати</vt:lpstr>
      <vt:lpstr>'Форма 5'!Заголовки_для_печати</vt:lpstr>
      <vt:lpstr>'Форма 6'!Заголовки_для_печати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  <vt:lpstr>'Форма 5'!Область_печати</vt:lpstr>
      <vt:lpstr>'Форма 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МОУ</dc:creator>
  <cp:lastModifiedBy>Каташова Татьяна Николаевна</cp:lastModifiedBy>
  <cp:lastPrinted>2014-11-14T06:04:42Z</cp:lastPrinted>
  <dcterms:created xsi:type="dcterms:W3CDTF">2014-02-26T03:24:40Z</dcterms:created>
  <dcterms:modified xsi:type="dcterms:W3CDTF">2015-03-11T04:08:11Z</dcterms:modified>
</cp:coreProperties>
</file>